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planilha" sheetId="1" r:id="rId1"/>
    <sheet name="CADERNO DE COMPOSIÇÃO" sheetId="2" r:id="rId2"/>
    <sheet name="CRONOGRAMA" sheetId="3" r:id="rId3"/>
    <sheet name="BDI" sheetId="5" r:id="rId4"/>
    <sheet name="ENCARGOS SOCIAIS" sheetId="6" r:id="rId5"/>
  </sheets>
  <externalReferences>
    <externalReference r:id="rId6"/>
  </externalReferences>
  <definedNames>
    <definedName name="_xlnm.Print_Area" localSheetId="1">'CADERNO DE COMPOSIÇÃO'!$A$1:$I$346</definedName>
    <definedName name="_xlnm.Print_Area" localSheetId="0">planilha!$A$1:$J$63</definedName>
  </definedNames>
  <calcPr calcId="145621"/>
</workbook>
</file>

<file path=xl/calcChain.xml><?xml version="1.0" encoding="utf-8"?>
<calcChain xmlns="http://schemas.openxmlformats.org/spreadsheetml/2006/main">
  <c r="B2" i="1" l="1"/>
  <c r="C38" i="6" l="1"/>
  <c r="D34" i="6"/>
  <c r="C34" i="6"/>
  <c r="D27" i="6"/>
  <c r="C27" i="6"/>
  <c r="D15" i="6"/>
  <c r="D39" i="6" s="1"/>
  <c r="C15" i="6"/>
  <c r="C39" i="6" s="1"/>
  <c r="C18" i="5"/>
  <c r="C20" i="5" s="1"/>
  <c r="C11" i="5"/>
  <c r="C7" i="5"/>
  <c r="B32" i="3"/>
  <c r="B30" i="3"/>
  <c r="B28" i="3"/>
  <c r="B26" i="3"/>
  <c r="B24" i="3"/>
  <c r="B22" i="3"/>
  <c r="B20" i="3"/>
  <c r="B18" i="3"/>
  <c r="B16" i="3"/>
  <c r="B14" i="3"/>
  <c r="B12" i="3"/>
  <c r="B10" i="3"/>
  <c r="B8" i="3"/>
  <c r="B6" i="3"/>
  <c r="B4" i="3"/>
  <c r="B1" i="3"/>
  <c r="D34" i="3"/>
  <c r="H32" i="3"/>
  <c r="H30" i="3"/>
  <c r="H28" i="3"/>
  <c r="H26" i="3"/>
  <c r="H24" i="3"/>
  <c r="H22" i="3"/>
  <c r="H20" i="3"/>
  <c r="H18" i="3"/>
  <c r="H16" i="3"/>
  <c r="H14" i="3"/>
  <c r="H12" i="3"/>
  <c r="H10" i="3"/>
  <c r="H8" i="3"/>
  <c r="H6" i="3"/>
  <c r="G5" i="3"/>
  <c r="F5" i="3"/>
  <c r="H4" i="3"/>
  <c r="A1" i="3"/>
  <c r="B4" i="2"/>
  <c r="B3" i="2"/>
  <c r="A341" i="2" l="1"/>
  <c r="I341" i="2" s="1"/>
  <c r="H344" i="2"/>
  <c r="I344" i="2" s="1"/>
  <c r="H343" i="2"/>
  <c r="I343" i="2" s="1"/>
  <c r="I335" i="2"/>
  <c r="B335" i="2"/>
  <c r="H337" i="2"/>
  <c r="I337" i="2" s="1"/>
  <c r="I338" i="2" s="1"/>
  <c r="J335" i="2" s="1"/>
  <c r="A328" i="2"/>
  <c r="B328" i="2" s="1"/>
  <c r="H331" i="2"/>
  <c r="I331" i="2" s="1"/>
  <c r="H330" i="2"/>
  <c r="I330" i="2" s="1"/>
  <c r="I328" i="2"/>
  <c r="I321" i="2"/>
  <c r="B321" i="2"/>
  <c r="H324" i="2"/>
  <c r="I324" i="2" s="1"/>
  <c r="H323" i="2"/>
  <c r="I323" i="2" s="1"/>
  <c r="A312" i="2"/>
  <c r="I312" i="2" s="1"/>
  <c r="H317" i="2"/>
  <c r="I317" i="2" s="1"/>
  <c r="H316" i="2"/>
  <c r="I316" i="2" s="1"/>
  <c r="H315" i="2"/>
  <c r="I315" i="2" s="1"/>
  <c r="H314" i="2"/>
  <c r="I314" i="2" s="1"/>
  <c r="H308" i="2"/>
  <c r="I308" i="2" s="1"/>
  <c r="H307" i="2"/>
  <c r="I307" i="2" s="1"/>
  <c r="H306" i="2"/>
  <c r="I306" i="2" s="1"/>
  <c r="A301" i="2"/>
  <c r="I301" i="2" s="1"/>
  <c r="H303" i="2"/>
  <c r="I303" i="2" s="1"/>
  <c r="H304" i="2"/>
  <c r="I304" i="2" s="1"/>
  <c r="H305" i="2"/>
  <c r="I305" i="2" s="1"/>
  <c r="I292" i="2"/>
  <c r="B292" i="2"/>
  <c r="I279" i="2"/>
  <c r="B279" i="2"/>
  <c r="H297" i="2"/>
  <c r="I297" i="2" s="1"/>
  <c r="H296" i="2"/>
  <c r="I296" i="2" s="1"/>
  <c r="H295" i="2"/>
  <c r="I295" i="2" s="1"/>
  <c r="H294" i="2"/>
  <c r="I294" i="2" s="1"/>
  <c r="H288" i="2"/>
  <c r="I288" i="2" s="1"/>
  <c r="H287" i="2"/>
  <c r="I287" i="2" s="1"/>
  <c r="H286" i="2"/>
  <c r="I286" i="2" s="1"/>
  <c r="H285" i="2"/>
  <c r="I285" i="2" s="1"/>
  <c r="H284" i="2"/>
  <c r="I284" i="2" s="1"/>
  <c r="H283" i="2"/>
  <c r="I283" i="2" s="1"/>
  <c r="H282" i="2"/>
  <c r="I282" i="2" s="1"/>
  <c r="H281" i="2"/>
  <c r="I281" i="2" s="1"/>
  <c r="I264" i="2"/>
  <c r="B264" i="2"/>
  <c r="H275" i="2"/>
  <c r="I275" i="2" s="1"/>
  <c r="H274" i="2"/>
  <c r="I274" i="2" s="1"/>
  <c r="H273" i="2"/>
  <c r="I273" i="2" s="1"/>
  <c r="H272" i="2"/>
  <c r="I272" i="2" s="1"/>
  <c r="H271" i="2"/>
  <c r="I271" i="2" s="1"/>
  <c r="H270" i="2"/>
  <c r="I270" i="2" s="1"/>
  <c r="H269" i="2"/>
  <c r="I269" i="2" s="1"/>
  <c r="H268" i="2"/>
  <c r="I268" i="2" s="1"/>
  <c r="H267" i="2"/>
  <c r="I267" i="2" s="1"/>
  <c r="H266" i="2"/>
  <c r="I266" i="2" s="1"/>
  <c r="I256" i="2"/>
  <c r="B256" i="2"/>
  <c r="H260" i="2"/>
  <c r="I260" i="2" s="1"/>
  <c r="H259" i="2"/>
  <c r="I259" i="2" s="1"/>
  <c r="H258" i="2"/>
  <c r="I258" i="2" s="1"/>
  <c r="A248" i="2"/>
  <c r="B248" i="2" s="1"/>
  <c r="H252" i="2"/>
  <c r="I252" i="2" s="1"/>
  <c r="H251" i="2"/>
  <c r="I251" i="2" s="1"/>
  <c r="H250" i="2"/>
  <c r="I250" i="2" s="1"/>
  <c r="I240" i="2"/>
  <c r="B240" i="2"/>
  <c r="H244" i="2"/>
  <c r="I244" i="2" s="1"/>
  <c r="H243" i="2"/>
  <c r="I243" i="2" s="1"/>
  <c r="H242" i="2"/>
  <c r="I242" i="2" s="1"/>
  <c r="I227" i="2"/>
  <c r="B227" i="2"/>
  <c r="H236" i="2"/>
  <c r="I236" i="2" s="1"/>
  <c r="H235" i="2"/>
  <c r="I235" i="2" s="1"/>
  <c r="H234" i="2"/>
  <c r="I234" i="2" s="1"/>
  <c r="H233" i="2"/>
  <c r="I233" i="2" s="1"/>
  <c r="H232" i="2"/>
  <c r="I232" i="2" s="1"/>
  <c r="H231" i="2"/>
  <c r="I231" i="2" s="1"/>
  <c r="H230" i="2"/>
  <c r="I230" i="2" s="1"/>
  <c r="H229" i="2"/>
  <c r="I229" i="2" s="1"/>
  <c r="I214" i="2"/>
  <c r="B214" i="2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I208" i="2"/>
  <c r="B208" i="2"/>
  <c r="I202" i="2"/>
  <c r="B202" i="2"/>
  <c r="H210" i="2"/>
  <c r="I210" i="2" s="1"/>
  <c r="I211" i="2" s="1"/>
  <c r="J208" i="2" s="1"/>
  <c r="H204" i="2"/>
  <c r="I204" i="2" s="1"/>
  <c r="I205" i="2" s="1"/>
  <c r="J202" i="2" s="1"/>
  <c r="A193" i="2"/>
  <c r="I193" i="2" s="1"/>
  <c r="H198" i="2"/>
  <c r="I198" i="2" s="1"/>
  <c r="H197" i="2"/>
  <c r="I197" i="2" s="1"/>
  <c r="H196" i="2"/>
  <c r="I196" i="2" s="1"/>
  <c r="H195" i="2"/>
  <c r="I195" i="2" s="1"/>
  <c r="I182" i="2"/>
  <c r="B182" i="2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I172" i="2"/>
  <c r="B172" i="2"/>
  <c r="H178" i="2"/>
  <c r="I178" i="2" s="1"/>
  <c r="H177" i="2"/>
  <c r="I177" i="2" s="1"/>
  <c r="H176" i="2"/>
  <c r="I176" i="2" s="1"/>
  <c r="H175" i="2"/>
  <c r="I175" i="2" s="1"/>
  <c r="H174" i="2"/>
  <c r="I174" i="2" s="1"/>
  <c r="A163" i="2"/>
  <c r="I163" i="2" s="1"/>
  <c r="H168" i="2"/>
  <c r="I168" i="2" s="1"/>
  <c r="H167" i="2"/>
  <c r="I167" i="2" s="1"/>
  <c r="H166" i="2"/>
  <c r="I166" i="2" s="1"/>
  <c r="H165" i="2"/>
  <c r="I165" i="2" s="1"/>
  <c r="I153" i="2"/>
  <c r="B153" i="2"/>
  <c r="H159" i="2"/>
  <c r="I159" i="2" s="1"/>
  <c r="H158" i="2"/>
  <c r="I158" i="2" s="1"/>
  <c r="H157" i="2"/>
  <c r="I157" i="2" s="1"/>
  <c r="H156" i="2"/>
  <c r="I156" i="2" s="1"/>
  <c r="H155" i="2"/>
  <c r="I155" i="2" s="1"/>
  <c r="I144" i="2"/>
  <c r="B144" i="2"/>
  <c r="H149" i="2"/>
  <c r="I149" i="2" s="1"/>
  <c r="H148" i="2"/>
  <c r="I148" i="2" s="1"/>
  <c r="H147" i="2"/>
  <c r="I147" i="2" s="1"/>
  <c r="H146" i="2"/>
  <c r="I146" i="2" s="1"/>
  <c r="A136" i="2"/>
  <c r="I136" i="2" s="1"/>
  <c r="H140" i="2"/>
  <c r="I140" i="2" s="1"/>
  <c r="H139" i="2"/>
  <c r="I139" i="2" s="1"/>
  <c r="H138" i="2"/>
  <c r="I138" i="2" s="1"/>
  <c r="I126" i="2"/>
  <c r="B126" i="2"/>
  <c r="I118" i="2"/>
  <c r="B118" i="2"/>
  <c r="I110" i="2"/>
  <c r="B110" i="2"/>
  <c r="H132" i="2"/>
  <c r="I132" i="2" s="1"/>
  <c r="H131" i="2"/>
  <c r="I131" i="2" s="1"/>
  <c r="H130" i="2"/>
  <c r="I130" i="2" s="1"/>
  <c r="H129" i="2"/>
  <c r="I129" i="2" s="1"/>
  <c r="H128" i="2"/>
  <c r="I128" i="2" s="1"/>
  <c r="H122" i="2"/>
  <c r="I122" i="2" s="1"/>
  <c r="H121" i="2"/>
  <c r="I121" i="2" s="1"/>
  <c r="H120" i="2"/>
  <c r="I120" i="2" s="1"/>
  <c r="H114" i="2"/>
  <c r="I114" i="2" s="1"/>
  <c r="H113" i="2"/>
  <c r="I113" i="2" s="1"/>
  <c r="H112" i="2"/>
  <c r="I112" i="2" s="1"/>
  <c r="A103" i="2"/>
  <c r="B103" i="2" s="1"/>
  <c r="H106" i="2"/>
  <c r="I106" i="2" s="1"/>
  <c r="H105" i="2"/>
  <c r="I105" i="2" s="1"/>
  <c r="A96" i="2"/>
  <c r="B96" i="2" s="1"/>
  <c r="H98" i="2"/>
  <c r="I98" i="2" s="1"/>
  <c r="H99" i="2"/>
  <c r="I99" i="2" s="1"/>
  <c r="I88" i="2"/>
  <c r="B88" i="2"/>
  <c r="I79" i="2"/>
  <c r="B79" i="2"/>
  <c r="H92" i="2"/>
  <c r="I92" i="2" s="1"/>
  <c r="H91" i="2"/>
  <c r="I91" i="2" s="1"/>
  <c r="H90" i="2"/>
  <c r="I90" i="2" s="1"/>
  <c r="H84" i="2"/>
  <c r="I84" i="2" s="1"/>
  <c r="H83" i="2"/>
  <c r="I83" i="2" s="1"/>
  <c r="H82" i="2"/>
  <c r="I82" i="2" s="1"/>
  <c r="H81" i="2"/>
  <c r="I81" i="2" s="1"/>
  <c r="I72" i="2"/>
  <c r="B72" i="2"/>
  <c r="H75" i="2"/>
  <c r="I75" i="2" s="1"/>
  <c r="H74" i="2"/>
  <c r="I74" i="2" s="1"/>
  <c r="I64" i="2"/>
  <c r="B64" i="2"/>
  <c r="H68" i="2"/>
  <c r="I68" i="2" s="1"/>
  <c r="H67" i="2"/>
  <c r="I67" i="2" s="1"/>
  <c r="H66" i="2"/>
  <c r="I66" i="2" s="1"/>
  <c r="I57" i="2"/>
  <c r="B57" i="2"/>
  <c r="H60" i="2"/>
  <c r="I60" i="2" s="1"/>
  <c r="H59" i="2"/>
  <c r="I59" i="2" s="1"/>
  <c r="I49" i="2"/>
  <c r="B49" i="2"/>
  <c r="I40" i="2"/>
  <c r="B40" i="2"/>
  <c r="H53" i="2"/>
  <c r="I53" i="2" s="1"/>
  <c r="H52" i="2"/>
  <c r="I52" i="2" s="1"/>
  <c r="H51" i="2"/>
  <c r="I51" i="2" s="1"/>
  <c r="H45" i="2"/>
  <c r="I45" i="2" s="1"/>
  <c r="H44" i="2"/>
  <c r="I44" i="2" s="1"/>
  <c r="H43" i="2"/>
  <c r="I43" i="2" s="1"/>
  <c r="H42" i="2"/>
  <c r="I42" i="2" s="1"/>
  <c r="I32" i="2"/>
  <c r="B32" i="2"/>
  <c r="I21" i="2"/>
  <c r="B21" i="2"/>
  <c r="H36" i="2"/>
  <c r="I36" i="2" s="1"/>
  <c r="H35" i="2"/>
  <c r="I35" i="2" s="1"/>
  <c r="H34" i="2"/>
  <c r="I34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17" i="2"/>
  <c r="I17" i="2" s="1"/>
  <c r="H16" i="2"/>
  <c r="I16" i="2" s="1"/>
  <c r="H15" i="2"/>
  <c r="I15" i="2" s="1"/>
  <c r="H14" i="2"/>
  <c r="I14" i="2" s="1"/>
  <c r="H13" i="2"/>
  <c r="I13" i="2" s="1"/>
  <c r="I325" i="2" l="1"/>
  <c r="J321" i="2" s="1"/>
  <c r="B341" i="2"/>
  <c r="I345" i="2"/>
  <c r="J341" i="2" s="1"/>
  <c r="I332" i="2"/>
  <c r="J328" i="2" s="1"/>
  <c r="I237" i="2"/>
  <c r="J227" i="2" s="1"/>
  <c r="I298" i="2"/>
  <c r="J292" i="2" s="1"/>
  <c r="I224" i="2"/>
  <c r="J214" i="2" s="1"/>
  <c r="I245" i="2"/>
  <c r="J240" i="2" s="1"/>
  <c r="B301" i="2"/>
  <c r="B312" i="2"/>
  <c r="I276" i="2"/>
  <c r="J264" i="2" s="1"/>
  <c r="I318" i="2"/>
  <c r="J312" i="2" s="1"/>
  <c r="I309" i="2"/>
  <c r="J301" i="2" s="1"/>
  <c r="I248" i="2"/>
  <c r="B163" i="2"/>
  <c r="I289" i="2"/>
  <c r="J279" i="2" s="1"/>
  <c r="I261" i="2"/>
  <c r="J256" i="2" s="1"/>
  <c r="I253" i="2"/>
  <c r="J248" i="2" s="1"/>
  <c r="B193" i="2"/>
  <c r="I199" i="2"/>
  <c r="J193" i="2" s="1"/>
  <c r="I190" i="2"/>
  <c r="J182" i="2" s="1"/>
  <c r="I179" i="2"/>
  <c r="J172" i="2" s="1"/>
  <c r="I115" i="2"/>
  <c r="J110" i="2" s="1"/>
  <c r="I123" i="2"/>
  <c r="J118" i="2" s="1"/>
  <c r="I160" i="2"/>
  <c r="J153" i="2" s="1"/>
  <c r="I150" i="2"/>
  <c r="J144" i="2" s="1"/>
  <c r="I103" i="2"/>
  <c r="I169" i="2"/>
  <c r="J163" i="2" s="1"/>
  <c r="B136" i="2"/>
  <c r="I141" i="2"/>
  <c r="J136" i="2" s="1"/>
  <c r="I133" i="2"/>
  <c r="J126" i="2" s="1"/>
  <c r="I61" i="2"/>
  <c r="J57" i="2" s="1"/>
  <c r="I69" i="2"/>
  <c r="J64" i="2" s="1"/>
  <c r="I107" i="2"/>
  <c r="J103" i="2" s="1"/>
  <c r="I100" i="2"/>
  <c r="J96" i="2" s="1"/>
  <c r="I85" i="2"/>
  <c r="J79" i="2" s="1"/>
  <c r="I96" i="2"/>
  <c r="I93" i="2"/>
  <c r="J88" i="2" s="1"/>
  <c r="I76" i="2"/>
  <c r="J72" i="2" s="1"/>
  <c r="I54" i="2"/>
  <c r="J49" i="2" s="1"/>
  <c r="I46" i="2"/>
  <c r="J40" i="2" s="1"/>
  <c r="I29" i="2"/>
  <c r="J21" i="2" s="1"/>
  <c r="I37" i="2"/>
  <c r="J32" i="2" s="1"/>
  <c r="A7" i="2"/>
  <c r="H12" i="2"/>
  <c r="I12" i="2" s="1"/>
  <c r="H11" i="2"/>
  <c r="I11" i="2" s="1"/>
  <c r="H10" i="2"/>
  <c r="I10" i="2" s="1"/>
  <c r="H9" i="2"/>
  <c r="I9" i="2" s="1"/>
  <c r="I7" i="2" l="1"/>
  <c r="H62" i="1"/>
  <c r="H56" i="1"/>
  <c r="H51" i="1"/>
  <c r="H46" i="1"/>
  <c r="H40" i="1"/>
  <c r="H34" i="1"/>
  <c r="H29" i="1"/>
  <c r="H24" i="1"/>
  <c r="H18" i="1"/>
  <c r="H14" i="1"/>
  <c r="H9" i="1"/>
  <c r="H53" i="1"/>
  <c r="H43" i="1"/>
  <c r="H21" i="1"/>
  <c r="H60" i="1"/>
  <c r="H55" i="1"/>
  <c r="H49" i="1"/>
  <c r="H45" i="1"/>
  <c r="H39" i="1"/>
  <c r="H33" i="1"/>
  <c r="H28" i="1"/>
  <c r="H22" i="1"/>
  <c r="H17" i="1"/>
  <c r="H12" i="1"/>
  <c r="H58" i="1"/>
  <c r="H32" i="1"/>
  <c r="H16" i="1"/>
  <c r="H57" i="1"/>
  <c r="H52" i="1"/>
  <c r="H47" i="1"/>
  <c r="H42" i="1"/>
  <c r="H35" i="1"/>
  <c r="H31" i="1"/>
  <c r="H25" i="1"/>
  <c r="H19" i="1"/>
  <c r="H15" i="1"/>
  <c r="H10" i="1"/>
  <c r="H48" i="1"/>
  <c r="H37" i="1"/>
  <c r="H27" i="1"/>
  <c r="H11" i="1"/>
  <c r="B7" i="2"/>
  <c r="I18" i="2"/>
  <c r="J7" i="2" s="1"/>
  <c r="H7" i="1" s="1"/>
  <c r="I7" i="1" l="1"/>
  <c r="I42" i="1"/>
  <c r="I60" i="1"/>
  <c r="I9" i="1"/>
  <c r="I29" i="1"/>
  <c r="I51" i="1"/>
  <c r="I48" i="1"/>
  <c r="I25" i="1"/>
  <c r="I32" i="1"/>
  <c r="I22" i="1"/>
  <c r="I21" i="1"/>
  <c r="I14" i="1"/>
  <c r="I34" i="1"/>
  <c r="I31" i="1"/>
  <c r="I52" i="1"/>
  <c r="I58" i="1"/>
  <c r="I28" i="1"/>
  <c r="I49" i="1"/>
  <c r="I43" i="1"/>
  <c r="I18" i="1"/>
  <c r="I40" i="1"/>
  <c r="I62" i="1"/>
  <c r="I37" i="1"/>
  <c r="I19" i="1"/>
  <c r="I16" i="1"/>
  <c r="I17" i="1"/>
  <c r="I39" i="1"/>
  <c r="I47" i="1"/>
  <c r="I45" i="1"/>
  <c r="I56" i="1"/>
  <c r="I11" i="1"/>
  <c r="I10" i="1"/>
  <c r="I27" i="1"/>
  <c r="I15" i="1"/>
  <c r="I35" i="1"/>
  <c r="I57" i="1"/>
  <c r="I12" i="1"/>
  <c r="I33" i="1"/>
  <c r="I55" i="1"/>
  <c r="I53" i="1"/>
  <c r="I24" i="1"/>
  <c r="I46" i="1"/>
  <c r="J46" i="1" l="1"/>
  <c r="J33" i="1"/>
  <c r="J10" i="1"/>
  <c r="J56" i="1"/>
  <c r="J17" i="1"/>
  <c r="J62" i="1"/>
  <c r="J49" i="1"/>
  <c r="J31" i="1"/>
  <c r="J22" i="1"/>
  <c r="J51" i="1"/>
  <c r="J42" i="1"/>
  <c r="J53" i="1"/>
  <c r="J57" i="1"/>
  <c r="J15" i="1"/>
  <c r="J47" i="1"/>
  <c r="J19" i="1"/>
  <c r="J18" i="1"/>
  <c r="J58" i="1"/>
  <c r="J14" i="1"/>
  <c r="J25" i="1"/>
  <c r="J9" i="1"/>
  <c r="J24" i="1"/>
  <c r="J55" i="1"/>
  <c r="J12" i="1"/>
  <c r="J35" i="1"/>
  <c r="J27" i="1"/>
  <c r="J11" i="1"/>
  <c r="J45" i="1"/>
  <c r="J39" i="1"/>
  <c r="J16" i="1"/>
  <c r="J37" i="1"/>
  <c r="J40" i="1"/>
  <c r="J43" i="1"/>
  <c r="J28" i="1"/>
  <c r="J52" i="1"/>
  <c r="J34" i="1"/>
  <c r="J21" i="1"/>
  <c r="J32" i="1"/>
  <c r="J48" i="1"/>
  <c r="J29" i="1"/>
  <c r="J60" i="1"/>
  <c r="J7" i="1"/>
  <c r="J59" i="1" l="1"/>
  <c r="C30" i="3" s="1"/>
  <c r="J20" i="1"/>
  <c r="C10" i="3" s="1"/>
  <c r="J36" i="1"/>
  <c r="C18" i="3" s="1"/>
  <c r="J38" i="1"/>
  <c r="C20" i="3" s="1"/>
  <c r="J54" i="1"/>
  <c r="C28" i="3" s="1"/>
  <c r="J8" i="1"/>
  <c r="C6" i="3" s="1"/>
  <c r="J13" i="1"/>
  <c r="C8" i="3" s="1"/>
  <c r="J41" i="1"/>
  <c r="C22" i="3" s="1"/>
  <c r="J6" i="1"/>
  <c r="C4" i="3" s="1"/>
  <c r="J44" i="1"/>
  <c r="C24" i="3" s="1"/>
  <c r="J26" i="1"/>
  <c r="C14" i="3" s="1"/>
  <c r="J23" i="1"/>
  <c r="C12" i="3" s="1"/>
  <c r="J50" i="1"/>
  <c r="C26" i="3" s="1"/>
  <c r="J30" i="1"/>
  <c r="C16" i="3" s="1"/>
  <c r="J61" i="1"/>
  <c r="C32" i="3" s="1"/>
  <c r="F33" i="3" l="1"/>
  <c r="G33" i="3"/>
  <c r="E33" i="3"/>
  <c r="G19" i="3"/>
  <c r="E19" i="3"/>
  <c r="F19" i="3"/>
  <c r="E5" i="3"/>
  <c r="H5" i="3" s="1"/>
  <c r="C34" i="3"/>
  <c r="G13" i="3"/>
  <c r="F13" i="3"/>
  <c r="E13" i="3"/>
  <c r="E23" i="3"/>
  <c r="F23" i="3"/>
  <c r="G23" i="3"/>
  <c r="G21" i="3"/>
  <c r="E21" i="3"/>
  <c r="F21" i="3"/>
  <c r="E15" i="3"/>
  <c r="F15" i="3"/>
  <c r="G15" i="3"/>
  <c r="F17" i="3"/>
  <c r="E17" i="3"/>
  <c r="G17" i="3"/>
  <c r="F25" i="3"/>
  <c r="E25" i="3"/>
  <c r="G25" i="3"/>
  <c r="E7" i="3"/>
  <c r="G7" i="3"/>
  <c r="F7" i="3"/>
  <c r="G11" i="3"/>
  <c r="E11" i="3"/>
  <c r="F11" i="3"/>
  <c r="F9" i="3"/>
  <c r="G9" i="3"/>
  <c r="E9" i="3"/>
  <c r="E27" i="3"/>
  <c r="G27" i="3"/>
  <c r="F27" i="3"/>
  <c r="G29" i="3"/>
  <c r="F29" i="3"/>
  <c r="E29" i="3"/>
  <c r="E31" i="3"/>
  <c r="G31" i="3"/>
  <c r="F31" i="3"/>
  <c r="J63" i="1"/>
  <c r="H31" i="3" l="1"/>
  <c r="H13" i="3"/>
  <c r="F34" i="3"/>
  <c r="H29" i="3"/>
  <c r="H7" i="3"/>
  <c r="H15" i="3"/>
  <c r="H17" i="3"/>
  <c r="H21" i="3"/>
  <c r="E34" i="3"/>
  <c r="H27" i="3"/>
  <c r="H9" i="3"/>
  <c r="H11" i="3"/>
  <c r="H25" i="3"/>
  <c r="H23" i="3"/>
  <c r="H19" i="3"/>
  <c r="G34" i="3"/>
  <c r="H33" i="3"/>
  <c r="M4" i="2"/>
  <c r="H34" i="3" l="1"/>
  <c r="E35" i="3"/>
  <c r="E36" i="3"/>
  <c r="E37" i="3" s="1"/>
  <c r="G36" i="3"/>
  <c r="F36" i="3"/>
  <c r="F35" i="3"/>
  <c r="G35" i="3" s="1"/>
  <c r="N4" i="2"/>
  <c r="O4" i="2"/>
  <c r="F37" i="3" l="1"/>
  <c r="G37" i="3" s="1"/>
</calcChain>
</file>

<file path=xl/sharedStrings.xml><?xml version="1.0" encoding="utf-8"?>
<sst xmlns="http://schemas.openxmlformats.org/spreadsheetml/2006/main" count="1600" uniqueCount="419">
  <si>
    <t>9.2</t>
  </si>
  <si>
    <t>Cobertura - Revisão</t>
  </si>
  <si>
    <t>1.1</t>
  </si>
  <si>
    <t>Forro em lambri de PVC</t>
  </si>
  <si>
    <t>090062</t>
  </si>
  <si>
    <t>Próprio</t>
  </si>
  <si>
    <t>100816</t>
  </si>
  <si>
    <t>Lavatorio de louça c/col.,torneira,sifao e valv.</t>
  </si>
  <si>
    <t>100817</t>
  </si>
  <si>
    <t>Total Geral</t>
  </si>
  <si>
    <t>M</t>
  </si>
  <si>
    <t>14.1</t>
  </si>
  <si>
    <t>Placa da obra em chapa galvanizada</t>
  </si>
  <si>
    <t>Pintura Nova</t>
  </si>
  <si>
    <t>und</t>
  </si>
  <si>
    <t>Porta mad. compens. c/ caix. aduela e alizar</t>
  </si>
  <si>
    <t>8.1</t>
  </si>
  <si>
    <t>Banco</t>
  </si>
  <si>
    <t>Pintura - Revisão</t>
  </si>
  <si>
    <t>Esquadria</t>
  </si>
  <si>
    <t>070241</t>
  </si>
  <si>
    <t>Bacia sifonada c/cx. descarga acoplada c/ assento</t>
  </si>
  <si>
    <t>Tomada 2P+T 10A (s/fiaçao)</t>
  </si>
  <si>
    <t>080300</t>
  </si>
  <si>
    <t>Cimentado liso e=2cm traço 1:3</t>
  </si>
  <si>
    <t>150207</t>
  </si>
  <si>
    <t>030011</t>
  </si>
  <si>
    <t>13.1</t>
  </si>
  <si>
    <t>13.2</t>
  </si>
  <si>
    <t>13.3</t>
  </si>
  <si>
    <t>13.4</t>
  </si>
  <si>
    <t>m²</t>
  </si>
  <si>
    <t>m³</t>
  </si>
  <si>
    <t>Retirada de telhas de barro</t>
  </si>
  <si>
    <t>080313</t>
  </si>
  <si>
    <t>Und</t>
  </si>
  <si>
    <t>170081</t>
  </si>
  <si>
    <t>7.1</t>
  </si>
  <si>
    <t>7.2</t>
  </si>
  <si>
    <t>7.3</t>
  </si>
  <si>
    <t>070287</t>
  </si>
  <si>
    <t>Limpeza geral e entrega da obra</t>
  </si>
  <si>
    <t>SEDI - SERVIÇOS DIVERSOS</t>
  </si>
  <si>
    <t>Serviços Finais</t>
  </si>
  <si>
    <t>Forro</t>
  </si>
  <si>
    <t>110143</t>
  </si>
  <si>
    <t>Ferragens p/ porta externa 1 fl.</t>
  </si>
  <si>
    <t>Descrição</t>
  </si>
  <si>
    <t>12.1</t>
  </si>
  <si>
    <t>12.2</t>
  </si>
  <si>
    <t>12.3</t>
  </si>
  <si>
    <t>150253</t>
  </si>
  <si>
    <t>Pt</t>
  </si>
  <si>
    <t>00000020</t>
  </si>
  <si>
    <t>Luminaria c/ 1 lamp. fluorescente 16W (sem fiaçao)</t>
  </si>
  <si>
    <t>190218</t>
  </si>
  <si>
    <t>Acrilica fosca int./ext. c/massa e selador - 3 demaos</t>
  </si>
  <si>
    <t>Serviços Preliminares</t>
  </si>
  <si>
    <t>6.1</t>
  </si>
  <si>
    <t>6.2</t>
  </si>
  <si>
    <t>6.3</t>
  </si>
  <si>
    <t>180844</t>
  </si>
  <si>
    <t>180845</t>
  </si>
  <si>
    <t>Imunização p/madeira c/carbolineum</t>
  </si>
  <si>
    <t>190375</t>
  </si>
  <si>
    <t>170514</t>
  </si>
  <si>
    <t>Código</t>
  </si>
  <si>
    <t>070049</t>
  </si>
  <si>
    <t>070051</t>
  </si>
  <si>
    <t>070058</t>
  </si>
  <si>
    <t>UN</t>
  </si>
  <si>
    <t>11.1</t>
  </si>
  <si>
    <t>11.2</t>
  </si>
  <si>
    <t>11.3</t>
  </si>
  <si>
    <t>11.4</t>
  </si>
  <si>
    <t>11.5</t>
  </si>
  <si>
    <t>Interruptor 1 tecla simples (s/fiaçao)</t>
  </si>
  <si>
    <t>SEDOP</t>
  </si>
  <si>
    <t>Tipo</t>
  </si>
  <si>
    <t>Total</t>
  </si>
  <si>
    <t>5.1</t>
  </si>
  <si>
    <t>5.2</t>
  </si>
  <si>
    <t>Demolição da estrutura em madeira da cobertura</t>
  </si>
  <si>
    <t>020307</t>
  </si>
  <si>
    <t>270220</t>
  </si>
  <si>
    <t>Revisão de ponto de água</t>
  </si>
  <si>
    <t>Camada regularizadora no traço 1:4</t>
  </si>
  <si>
    <t>Revestimento Interno e Externo</t>
  </si>
  <si>
    <t>Administração Local</t>
  </si>
  <si>
    <t>Cobertura Nova</t>
  </si>
  <si>
    <t>10.1</t>
  </si>
  <si>
    <t>Aterro c/ material fora da obra, incl. apiloamento</t>
  </si>
  <si>
    <t>10.2</t>
  </si>
  <si>
    <t>110763</t>
  </si>
  <si>
    <t>Revisão de ponto de luz</t>
  </si>
  <si>
    <t>Instalações Hidrossanitárias</t>
  </si>
  <si>
    <t>Quant.</t>
  </si>
  <si>
    <t>010004</t>
  </si>
  <si>
    <t>Revestimento Cerâmico Padrão Médio</t>
  </si>
  <si>
    <t>4.1</t>
  </si>
  <si>
    <t>4.2</t>
  </si>
  <si>
    <t>Revisão de ponto de esgoto</t>
  </si>
  <si>
    <t>Item</t>
  </si>
  <si>
    <t>Ponto de luz / força (c/tubul., cx. e fiaçao) ate 200W</t>
  </si>
  <si>
    <t>Encaliçamento de telha ceramica (beiral e cumieira)</t>
  </si>
  <si>
    <t>110644</t>
  </si>
  <si>
    <t>170332</t>
  </si>
  <si>
    <t>Estrutura em mad. lei p/ telha de barro - pç.aparelhada</t>
  </si>
  <si>
    <t>170339</t>
  </si>
  <si>
    <t>Concreto simples c/ seixo e=5cm traço 1:2:3</t>
  </si>
  <si>
    <t>Fechadura para porta externa</t>
  </si>
  <si>
    <t>Cumeeira de barro</t>
  </si>
  <si>
    <t>Engenheiro e Encarregado - Escola Pedro A. Cabral</t>
  </si>
  <si>
    <t>3.1</t>
  </si>
  <si>
    <t>Instalações Elétricas</t>
  </si>
  <si>
    <t>171491</t>
  </si>
  <si>
    <t>3.4</t>
  </si>
  <si>
    <t>3.5</t>
  </si>
  <si>
    <t>3.6</t>
  </si>
  <si>
    <t>3.7</t>
  </si>
  <si>
    <t>Acrílica para piso</t>
  </si>
  <si>
    <t>Planilha Orçamentária Sintética</t>
  </si>
  <si>
    <t>Fechadura para porta de banheiro</t>
  </si>
  <si>
    <t>130110</t>
  </si>
  <si>
    <t>130112</t>
  </si>
  <si>
    <t>130113</t>
  </si>
  <si>
    <t>130119</t>
  </si>
  <si>
    <t>Lajota ceramica - PEI IV - (Padrão Médio)</t>
  </si>
  <si>
    <t>Barroteamento em madeira de lei p/ forro PVC</t>
  </si>
  <si>
    <t>190609</t>
  </si>
  <si>
    <t>Cobertura - telha de barro paulista ou planatex</t>
  </si>
  <si>
    <t>Pisos</t>
  </si>
  <si>
    <t>100226</t>
  </si>
  <si>
    <t>Impermeabilização</t>
  </si>
  <si>
    <t>Impermeabilização com Vedacit (normal)</t>
  </si>
  <si>
    <t>141336</t>
  </si>
  <si>
    <t>2.1</t>
  </si>
  <si>
    <t>2.2</t>
  </si>
  <si>
    <t>Serviços Complementares</t>
  </si>
  <si>
    <t>2.3</t>
  </si>
  <si>
    <t>2.4</t>
  </si>
  <si>
    <t>140348</t>
  </si>
  <si>
    <t>Cobertura - telha plan</t>
  </si>
  <si>
    <t>Chapisco de cimento e areia no traço 1:3</t>
  </si>
  <si>
    <t>CJ</t>
  </si>
  <si>
    <t>Reboco com argamassa 1:6:Adit. Plast.</t>
  </si>
  <si>
    <t>15.1</t>
  </si>
  <si>
    <t>020020</t>
  </si>
  <si>
    <t>Chuveiro em PVC</t>
  </si>
  <si>
    <t>9.1</t>
  </si>
  <si>
    <t>CADERNO DE COMPOSIÇÕES</t>
  </si>
  <si>
    <t>DESCONTO MATERIAIS E EQUIPAMENTOS</t>
  </si>
  <si>
    <t>CONTROLE DE DESCONTO</t>
  </si>
  <si>
    <t>EDITAL</t>
  </si>
  <si>
    <t>PROPOSTA</t>
  </si>
  <si>
    <t>DESCONTO</t>
  </si>
  <si>
    <t>Obra:</t>
  </si>
  <si>
    <t>%</t>
  </si>
  <si>
    <t>R$</t>
  </si>
  <si>
    <t>Ref:</t>
  </si>
  <si>
    <t>&lt;- INSIRA SEU DESCONTO AQUI</t>
  </si>
  <si>
    <t>CÓDIGO</t>
  </si>
  <si>
    <t>DESCRIÇÃO DA COMPOSIÇÃO</t>
  </si>
  <si>
    <t>UND</t>
  </si>
  <si>
    <t>TABELA</t>
  </si>
  <si>
    <t>TIPO DO ÍTEM</t>
  </si>
  <si>
    <t>DESCRIÇÃO</t>
  </si>
  <si>
    <t>COEF.</t>
  </si>
  <si>
    <t>OCULTAR</t>
  </si>
  <si>
    <t>CUSTO UNT.</t>
  </si>
  <si>
    <t>CUSTO TOTAL</t>
  </si>
  <si>
    <t>SINAPI</t>
  </si>
  <si>
    <t>Composição</t>
  </si>
  <si>
    <t>TOTAL DO ÍTEM</t>
  </si>
  <si>
    <t>Valor Unit EMPRESA</t>
  </si>
  <si>
    <t>CARPINTEIRO DE FORMAS COM ENCARGOS COMPLEMENTARES</t>
  </si>
  <si>
    <t>H</t>
  </si>
  <si>
    <t>SERVENTE COM ENCARGOS COMPLEMENTARES</t>
  </si>
  <si>
    <t>PINTOR COM ENCARGOS COMPLEMENTARES</t>
  </si>
  <si>
    <t>INSUMO</t>
  </si>
  <si>
    <t>D00082</t>
  </si>
  <si>
    <t>Prego 2"x11</t>
  </si>
  <si>
    <t>KG</t>
  </si>
  <si>
    <t>D00281</t>
  </si>
  <si>
    <t>Pernamanca 3" x 2" 20 pls - madeira branca</t>
  </si>
  <si>
    <t>DZ</t>
  </si>
  <si>
    <t>D00019</t>
  </si>
  <si>
    <t>Régua 3"x1" 20 pls apar.</t>
  </si>
  <si>
    <t>D00034</t>
  </si>
  <si>
    <t>Chapa de fo go no 26 (1,00x2,00m)</t>
  </si>
  <si>
    <t>CH</t>
  </si>
  <si>
    <t>P00001</t>
  </si>
  <si>
    <t>Tinta oleo</t>
  </si>
  <si>
    <t>GL</t>
  </si>
  <si>
    <t>P00016</t>
  </si>
  <si>
    <t>Fundo antioxido cromato de zinco</t>
  </si>
  <si>
    <t>D00009</t>
  </si>
  <si>
    <t>Pernamanca 3"x2" 20 pls ap - mad. forte</t>
  </si>
  <si>
    <t>D00085</t>
  </si>
  <si>
    <t>Prego 1"x16</t>
  </si>
  <si>
    <t>D00013</t>
  </si>
  <si>
    <t>Ripa 2 1/2"x1/2" 20 pls apar</t>
  </si>
  <si>
    <t>D00005</t>
  </si>
  <si>
    <t>Peça em madeira de lei 6"x3" 20 pls apar</t>
  </si>
  <si>
    <t>TELHADISTA COM ENCARGOS COMPLEMENTARES</t>
  </si>
  <si>
    <t>D00210</t>
  </si>
  <si>
    <t>Telha de barro - plan</t>
  </si>
  <si>
    <t>D00173</t>
  </si>
  <si>
    <t>Argamassa de cimento e areia 1:4</t>
  </si>
  <si>
    <t>M3</t>
  </si>
  <si>
    <t>D00004</t>
  </si>
  <si>
    <t>Telha de barro - paulista</t>
  </si>
  <si>
    <t>D00084</t>
  </si>
  <si>
    <t>Prego 1 1/2"x13</t>
  </si>
  <si>
    <t>D00012</t>
  </si>
  <si>
    <t>Ripão em madeira de lei 2"x1" serr</t>
  </si>
  <si>
    <t>MONTADOR DE ESTRUTURA METÁLICA COM ENCARGOS COMPLEMENTARES</t>
  </si>
  <si>
    <t>A00024</t>
  </si>
  <si>
    <t>M2</t>
  </si>
  <si>
    <t>I00014</t>
  </si>
  <si>
    <t>Vedacit (pega normal)</t>
  </si>
  <si>
    <t>L</t>
  </si>
  <si>
    <t>D00202</t>
  </si>
  <si>
    <t>Carbolineum</t>
  </si>
  <si>
    <t>PEDREIRO COM ENCARGOS COMPLEMENTARES</t>
  </si>
  <si>
    <t>Argamassa de cimento e areia no traço 1:3</t>
  </si>
  <si>
    <t>Argamassa de cimento,areia e adit. plast. 1:6</t>
  </si>
  <si>
    <t>D00080</t>
  </si>
  <si>
    <t>Argamassa AC-I</t>
  </si>
  <si>
    <t>D00079</t>
  </si>
  <si>
    <t>Rejunte (p/ ceramica)</t>
  </si>
  <si>
    <t>A00056</t>
  </si>
  <si>
    <t>M00006</t>
  </si>
  <si>
    <t>Compactador de solo CM-13</t>
  </si>
  <si>
    <t>HP</t>
  </si>
  <si>
    <t>J00001</t>
  </si>
  <si>
    <t>Aterro arenoso</t>
  </si>
  <si>
    <t>J00005</t>
  </si>
  <si>
    <t>Areia</t>
  </si>
  <si>
    <t>J00003</t>
  </si>
  <si>
    <t>Cimento</t>
  </si>
  <si>
    <t>SC</t>
  </si>
  <si>
    <t>J00007</t>
  </si>
  <si>
    <t>Seixo lavado</t>
  </si>
  <si>
    <t>A00055</t>
  </si>
  <si>
    <t>Rejunte (p/ ceramica</t>
  </si>
  <si>
    <t>P00007</t>
  </si>
  <si>
    <t>Lixa para parede</t>
  </si>
  <si>
    <t>P00022</t>
  </si>
  <si>
    <t>Massa acrílica</t>
  </si>
  <si>
    <t>P00024</t>
  </si>
  <si>
    <t>Tinta acrílica - Fosca</t>
  </si>
  <si>
    <t>P00028</t>
  </si>
  <si>
    <t>Líquido selador acrilico</t>
  </si>
  <si>
    <t>P00036</t>
  </si>
  <si>
    <t>P00027</t>
  </si>
  <si>
    <t>Aguarraz</t>
  </si>
  <si>
    <t>Ponto de esgoto (incl. tubos, conexoes,cx. e ralos)</t>
  </si>
  <si>
    <t>PT</t>
  </si>
  <si>
    <t>Ponto de agua (incl. tubos e conexoes)</t>
  </si>
  <si>
    <t>ELETRICISTA COM ENCARGOS COMPLEMENTARES</t>
  </si>
  <si>
    <t>AUXILIAR DE ELETRICISTA COM ENCARGOS COMPLEMENTARES</t>
  </si>
  <si>
    <t>E00033</t>
  </si>
  <si>
    <t>Bucha de 1/2"</t>
  </si>
  <si>
    <t>E00019</t>
  </si>
  <si>
    <t>Caixa de derivação 4"x2"- Plástica</t>
  </si>
  <si>
    <t>E00020</t>
  </si>
  <si>
    <t>Fita isolante</t>
  </si>
  <si>
    <t>E00012</t>
  </si>
  <si>
    <t>Eletroduto em PVC de 1/2"</t>
  </si>
  <si>
    <t>E00034</t>
  </si>
  <si>
    <t>Arruela de 1/2"</t>
  </si>
  <si>
    <t>E00008</t>
  </si>
  <si>
    <t>Cabo de cobre 2,5mm2 -750V</t>
  </si>
  <si>
    <t>E00028</t>
  </si>
  <si>
    <t>Luminária completa c/lâmp.fluor.1x16W - FCB</t>
  </si>
  <si>
    <t>E00023</t>
  </si>
  <si>
    <t>E00065</t>
  </si>
  <si>
    <t>ENCANADOR OU BOMBEIRO HIDRÁULICO COM ENCARGOS COMPLEMENTARES</t>
  </si>
  <si>
    <t>D00223</t>
  </si>
  <si>
    <t>Adesivo p/ PVC - 75g</t>
  </si>
  <si>
    <t>TB</t>
  </si>
  <si>
    <t>H00024</t>
  </si>
  <si>
    <t>Anel de borracha de 1"</t>
  </si>
  <si>
    <t>H00022</t>
  </si>
  <si>
    <t>Assento plastico</t>
  </si>
  <si>
    <t>H00263</t>
  </si>
  <si>
    <t>Bacia sifonada c/ cx. descarga acoplada</t>
  </si>
  <si>
    <t>D00222</t>
  </si>
  <si>
    <t>Solução limpadora</t>
  </si>
  <si>
    <t>H00042</t>
  </si>
  <si>
    <t>Parafuso niquelado para loucas sanitarias</t>
  </si>
  <si>
    <t>H00023</t>
  </si>
  <si>
    <t>Bolsa plastica (vaso sanitario)</t>
  </si>
  <si>
    <t>H00025</t>
  </si>
  <si>
    <t>Tubo de ligacao em PVC c/ canopla (LS)</t>
  </si>
  <si>
    <t>H00055</t>
  </si>
  <si>
    <t>Fita de vedacao</t>
  </si>
  <si>
    <t>H00056</t>
  </si>
  <si>
    <t>Torneira metalica p/ lavatorio de 1/2"</t>
  </si>
  <si>
    <t>H00028</t>
  </si>
  <si>
    <t>Valv. p/ lavat./bide d = 1" - cromada</t>
  </si>
  <si>
    <t>H00032</t>
  </si>
  <si>
    <t>Sifao metalico de 1 1/2 "</t>
  </si>
  <si>
    <t>H00030</t>
  </si>
  <si>
    <t>Lavatorio de louca com coluna</t>
  </si>
  <si>
    <t>H00029</t>
  </si>
  <si>
    <t>Tubo de ligacao niquelado com canopla</t>
  </si>
  <si>
    <t>H00043</t>
  </si>
  <si>
    <t>D00092</t>
  </si>
  <si>
    <t>Porta em compensado (preço medio)</t>
  </si>
  <si>
    <t>D00097</t>
  </si>
  <si>
    <t>Alizar em madeira de lei</t>
  </si>
  <si>
    <t>D00096</t>
  </si>
  <si>
    <t>Caixilho em madeira de lei</t>
  </si>
  <si>
    <t>D00062</t>
  </si>
  <si>
    <t>Dobradiça 3"x3" com parafuso</t>
  </si>
  <si>
    <t>D00131</t>
  </si>
  <si>
    <t>Fechadura externa</t>
  </si>
  <si>
    <t>D00124</t>
  </si>
  <si>
    <t>Fechadura p/ banheiro - livre-ocupado</t>
  </si>
  <si>
    <t>ENGENHEIRO CIVIL DE OBRA JUNIOR COM ENCARGOS COMPLEMENTARES</t>
  </si>
  <si>
    <t>ENCARREGADO GERAL COM ENCARGOS COMPLEMENTARES</t>
  </si>
  <si>
    <t>Bdi:</t>
  </si>
  <si>
    <t>Sinapi 1/2018 e SEDOP 9/2017 - não desonerada</t>
  </si>
  <si>
    <t>Valor Unit com BDI EMPRESA</t>
  </si>
  <si>
    <t>Total EMPRESA</t>
  </si>
  <si>
    <t>TOTAL</t>
  </si>
  <si>
    <t>Planejamento - CRONOGRAMA FÍSICO-FINANCEIRO</t>
  </si>
  <si>
    <t>ITEM</t>
  </si>
  <si>
    <t>DESCRIÇÃO DOS SERVIÇOS</t>
  </si>
  <si>
    <t>VALOR (R$)</t>
  </si>
  <si>
    <t>% ITEM</t>
  </si>
  <si>
    <t>Valores totais</t>
  </si>
  <si>
    <t>ACUMULADOS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</si>
  <si>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</si>
  <si>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</si>
  <si>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</si>
  <si>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</si>
  <si>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</si>
  <si>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</si>
  <si>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</si>
  <si>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>Sub-total</t>
  </si>
  <si>
    <t>LUCRO</t>
  </si>
  <si>
    <t>E - Lucro Operacional</t>
  </si>
  <si>
    <t>TAXAS E IMPOSTOS</t>
  </si>
  <si>
    <t>F - PIS</t>
  </si>
  <si>
    <t>G - COFINS</t>
  </si>
  <si>
    <t>H - ISSQN</t>
  </si>
  <si>
    <t>Contribuição Previdenciária - Lei N° 13.161/15</t>
  </si>
  <si>
    <t>BDI</t>
  </si>
  <si>
    <t>COMPOSIÇÃO DOS ENCARGOS SOCIAIS</t>
  </si>
  <si>
    <t xml:space="preserve">ENCARGOS SOCIAIS - ESCALA SALARIAL DE MÃO-DE-OBRA </t>
  </si>
  <si>
    <t>NÃO DESONERADA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</si>
  <si>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</si>
  <si>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</si>
  <si>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</si>
  <si>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</si>
  <si>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</si>
  <si>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</si>
  <si>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</si>
  <si>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</si>
  <si>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</si>
  <si>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</si>
  <si>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</si>
  <si>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</si>
  <si>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</si>
  <si>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</si>
  <si>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</si>
  <si>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</si>
  <si>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</si>
  <si>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</si>
  <si>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</si>
  <si>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</si>
  <si>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</si>
  <si>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</si>
  <si>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</si>
  <si>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</si>
  <si>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</si>
  <si>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</si>
  <si>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</si>
  <si>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</si>
  <si>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</si>
  <si>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</si>
  <si>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</si>
  <si>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</si>
  <si>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</si>
  <si>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</si>
  <si>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</si>
  <si>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</si>
  <si>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</si>
  <si>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</si>
  <si>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</si>
  <si>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</si>
  <si>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</si>
  <si>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</si>
  <si>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</si>
  <si>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</si>
  <si>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</si>
  <si>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</si>
  <si>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</si>
  <si>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</si>
  <si>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</si>
  <si>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</si>
  <si>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</si>
  <si>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</si>
  <si>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</si>
  <si>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</si>
  <si>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</si>
  <si>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</si>
  <si>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</si>
  <si>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</si>
  <si>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</si>
  <si>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</si>
  <si>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</si>
  <si>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</si>
  <si>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</si>
  <si>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</si>
  <si>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Reforma e Ampliação da Pedro A. Cabral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</si>
</sst>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####"/>
    <numFmt numFmtId="165" formatCode="0.0000"/>
    <numFmt numFmtId="166" formatCode="_-&quot;R$&quot;\ * #,##0.000_-;\-&quot;R$&quot;\ * #,##0.000_-;_-&quot;R$&quot;\ * &quot;-&quot;??_-;_-@_-"/>
    <numFmt numFmtId="167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 Light"/>
      <family val="2"/>
    </font>
    <font>
      <b/>
      <sz val="9"/>
      <color theme="1"/>
      <name val="Arial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color theme="0"/>
      <name val="Calibri Light"/>
      <family val="2"/>
    </font>
    <font>
      <b/>
      <sz val="9"/>
      <name val="Calibri Light"/>
      <family val="2"/>
    </font>
    <font>
      <sz val="11"/>
      <name val="Arial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i/>
      <sz val="8"/>
      <color theme="1"/>
      <name val="Calibri Light"/>
      <family val="2"/>
    </font>
    <font>
      <b/>
      <sz val="14"/>
      <color theme="0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</fonts>
  <fills count="22">
    <fill>
      <patternFill patternType="none"/>
    </fill>
    <fill>
      <patternFill patternType="gray125"/>
    </fill>
    <fill>
      <patternFill patternType="solid">
        <fgColor rgb="FFD8ECF6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</cellStyleXfs>
  <cellXfs count="206">
    <xf numFmtId="0" fontId="0" fillId="0" borderId="0" xfId="0"/>
    <xf numFmtId="0" fontId="1" fillId="0" borderId="0" xfId="0" applyFont="1"/>
    <xf numFmtId="0" fontId="4" fillId="0" borderId="0" xfId="3"/>
    <xf numFmtId="0" fontId="5" fillId="15" borderId="15" xfId="3" applyFont="1" applyFill="1" applyBorder="1" applyAlignment="1">
      <alignment vertical="center" wrapText="1"/>
    </xf>
    <xf numFmtId="0" fontId="4" fillId="0" borderId="17" xfId="3" applyBorder="1" applyAlignment="1">
      <alignment horizontal="center" vertical="center"/>
    </xf>
    <xf numFmtId="0" fontId="4" fillId="0" borderId="11" xfId="3" applyBorder="1" applyAlignment="1">
      <alignment horizontal="center" vertical="center"/>
    </xf>
    <xf numFmtId="0" fontId="5" fillId="15" borderId="0" xfId="3" applyFont="1" applyFill="1" applyBorder="1" applyAlignment="1">
      <alignment vertical="center"/>
    </xf>
    <xf numFmtId="2" fontId="7" fillId="15" borderId="0" xfId="3" applyNumberFormat="1" applyFont="1" applyFill="1" applyBorder="1" applyAlignment="1">
      <alignment horizontal="left" vertical="center"/>
    </xf>
    <xf numFmtId="0" fontId="7" fillId="15" borderId="0" xfId="3" applyFont="1" applyFill="1" applyBorder="1" applyAlignment="1">
      <alignment horizontal="center" vertical="center"/>
    </xf>
    <xf numFmtId="165" fontId="5" fillId="15" borderId="0" xfId="3" applyNumberFormat="1" applyFont="1" applyFill="1" applyBorder="1" applyAlignment="1">
      <alignment horizontal="right" vertical="center"/>
    </xf>
    <xf numFmtId="0" fontId="7" fillId="15" borderId="16" xfId="3" applyFont="1" applyFill="1" applyBorder="1" applyAlignment="1">
      <alignment horizontal="left" vertical="center"/>
    </xf>
    <xf numFmtId="44" fontId="3" fillId="0" borderId="11" xfId="2" applyFont="1" applyBorder="1" applyAlignment="1">
      <alignment vertical="center"/>
    </xf>
    <xf numFmtId="44" fontId="3" fillId="0" borderId="11" xfId="5" applyFont="1" applyBorder="1" applyAlignment="1">
      <alignment vertical="center"/>
    </xf>
    <xf numFmtId="10" fontId="3" fillId="0" borderId="17" xfId="6" applyNumberFormat="1" applyFont="1" applyBorder="1" applyAlignment="1">
      <alignment horizontal="center" vertical="center"/>
    </xf>
    <xf numFmtId="44" fontId="3" fillId="0" borderId="11" xfId="5" applyFont="1" applyBorder="1" applyAlignment="1">
      <alignment horizontal="center" vertical="center"/>
    </xf>
    <xf numFmtId="10" fontId="7" fillId="15" borderId="0" xfId="3" applyNumberFormat="1" applyFont="1" applyFill="1" applyBorder="1" applyAlignment="1">
      <alignment horizontal="left" vertical="center"/>
    </xf>
    <xf numFmtId="0" fontId="7" fillId="15" borderId="0" xfId="3" applyFont="1" applyFill="1" applyBorder="1" applyAlignment="1">
      <alignment horizontal="left" vertical="center" wrapText="1"/>
    </xf>
    <xf numFmtId="165" fontId="7" fillId="15" borderId="0" xfId="3" applyNumberFormat="1" applyFont="1" applyFill="1" applyBorder="1" applyAlignment="1">
      <alignment horizontal="right" vertical="center"/>
    </xf>
    <xf numFmtId="0" fontId="8" fillId="15" borderId="0" xfId="3" applyFont="1" applyFill="1" applyBorder="1" applyAlignment="1">
      <alignment horizontal="right" vertical="center"/>
    </xf>
    <xf numFmtId="43" fontId="8" fillId="15" borderId="0" xfId="1" applyFont="1" applyFill="1" applyBorder="1" applyAlignment="1">
      <alignment horizontal="right" vertical="center"/>
    </xf>
    <xf numFmtId="0" fontId="7" fillId="15" borderId="16" xfId="3" applyFont="1" applyFill="1" applyBorder="1" applyAlignment="1">
      <alignment horizontal="right" vertical="center"/>
    </xf>
    <xf numFmtId="10" fontId="6" fillId="15" borderId="11" xfId="4" applyNumberFormat="1" applyFont="1" applyFill="1" applyBorder="1" applyAlignment="1">
      <alignment horizontal="center" vertical="center"/>
    </xf>
    <xf numFmtId="0" fontId="5" fillId="0" borderId="17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0" fontId="9" fillId="17" borderId="11" xfId="3" applyFont="1" applyFill="1" applyBorder="1" applyAlignment="1">
      <alignment horizontal="center" vertical="center" wrapText="1"/>
    </xf>
    <xf numFmtId="0" fontId="9" fillId="17" borderId="11" xfId="3" applyFont="1" applyFill="1" applyBorder="1" applyAlignment="1">
      <alignment horizontal="center" vertical="center"/>
    </xf>
    <xf numFmtId="43" fontId="4" fillId="0" borderId="0" xfId="3" applyNumberFormat="1"/>
    <xf numFmtId="0" fontId="5" fillId="15" borderId="20" xfId="3" applyFont="1" applyFill="1" applyBorder="1" applyAlignment="1">
      <alignment horizontal="center" vertical="center" wrapText="1"/>
    </xf>
    <xf numFmtId="0" fontId="5" fillId="15" borderId="21" xfId="3" applyFont="1" applyFill="1" applyBorder="1" applyAlignment="1">
      <alignment horizontal="center" vertical="center" wrapText="1"/>
    </xf>
    <xf numFmtId="0" fontId="5" fillId="15" borderId="22" xfId="3" applyFont="1" applyFill="1" applyBorder="1" applyAlignment="1">
      <alignment horizontal="center" vertical="center" wrapText="1"/>
    </xf>
    <xf numFmtId="165" fontId="5" fillId="15" borderId="22" xfId="3" applyNumberFormat="1" applyFont="1" applyFill="1" applyBorder="1" applyAlignment="1">
      <alignment horizontal="center" vertical="center" wrapText="1"/>
    </xf>
    <xf numFmtId="0" fontId="10" fillId="15" borderId="22" xfId="3" applyFont="1" applyFill="1" applyBorder="1" applyAlignment="1">
      <alignment horizontal="center" vertical="center" wrapText="1"/>
    </xf>
    <xf numFmtId="43" fontId="10" fillId="15" borderId="22" xfId="1" applyFont="1" applyFill="1" applyBorder="1" applyAlignment="1">
      <alignment horizontal="center" vertical="center" wrapText="1"/>
    </xf>
    <xf numFmtId="0" fontId="5" fillId="15" borderId="23" xfId="3" applyFont="1" applyFill="1" applyBorder="1" applyAlignment="1">
      <alignment horizontal="center" vertical="center" wrapText="1"/>
    </xf>
    <xf numFmtId="0" fontId="7" fillId="15" borderId="0" xfId="7" applyNumberFormat="1" applyFont="1" applyFill="1" applyBorder="1" applyAlignment="1">
      <alignment horizontal="center" vertical="center"/>
    </xf>
    <xf numFmtId="4" fontId="7" fillId="15" borderId="0" xfId="7" applyNumberFormat="1" applyFont="1" applyFill="1" applyBorder="1" applyAlignment="1">
      <alignment horizontal="center" vertical="center"/>
    </xf>
    <xf numFmtId="44" fontId="7" fillId="15" borderId="0" xfId="2" applyFont="1" applyFill="1" applyBorder="1" applyAlignment="1">
      <alignment horizontal="center" vertical="center"/>
    </xf>
    <xf numFmtId="44" fontId="7" fillId="15" borderId="16" xfId="2" applyFont="1" applyFill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44" fontId="5" fillId="0" borderId="11" xfId="2" applyFont="1" applyBorder="1" applyAlignment="1">
      <alignment horizontal="right" vertical="center"/>
    </xf>
    <xf numFmtId="0" fontId="2" fillId="11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44" fontId="0" fillId="0" borderId="0" xfId="0" applyNumberFormat="1"/>
    <xf numFmtId="166" fontId="7" fillId="15" borderId="16" xfId="2" applyNumberFormat="1" applyFont="1" applyFill="1" applyBorder="1" applyAlignment="1">
      <alignment horizontal="center" vertical="center"/>
    </xf>
    <xf numFmtId="0" fontId="2" fillId="15" borderId="0" xfId="0" applyFont="1" applyFill="1" applyAlignment="1">
      <alignment horizontal="left" vertical="center"/>
    </xf>
    <xf numFmtId="10" fontId="2" fillId="18" borderId="0" xfId="0" applyNumberFormat="1" applyFont="1" applyFill="1" applyAlignment="1">
      <alignment horizontal="left" vertical="center" wrapText="1"/>
    </xf>
    <xf numFmtId="0" fontId="2" fillId="18" borderId="0" xfId="0" applyFont="1" applyFill="1" applyAlignment="1">
      <alignment horizontal="left" vertical="center" wrapText="1"/>
    </xf>
    <xf numFmtId="0" fontId="2" fillId="0" borderId="0" xfId="0" applyFont="1"/>
    <xf numFmtId="0" fontId="12" fillId="10" borderId="6" xfId="0" applyNumberFormat="1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" fontId="12" fillId="3" borderId="2" xfId="0" applyNumberFormat="1" applyFont="1" applyFill="1" applyBorder="1" applyAlignment="1">
      <alignment horizontal="right" vertical="top" wrapText="1"/>
    </xf>
    <xf numFmtId="4" fontId="12" fillId="3" borderId="7" xfId="0" applyNumberFormat="1" applyFont="1" applyFill="1" applyBorder="1" applyAlignment="1">
      <alignment horizontal="right" vertical="top" wrapText="1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vertical="top" wrapText="1"/>
    </xf>
    <xf numFmtId="0" fontId="13" fillId="9" borderId="5" xfId="0" applyFont="1" applyFill="1" applyBorder="1" applyAlignment="1">
      <alignment horizontal="center" vertical="top" wrapText="1"/>
    </xf>
    <xf numFmtId="164" fontId="13" fillId="5" borderId="3" xfId="0" applyNumberFormat="1" applyFont="1" applyFill="1" applyBorder="1" applyAlignment="1">
      <alignment horizontal="right" vertical="top" wrapText="1"/>
    </xf>
    <xf numFmtId="4" fontId="13" fillId="7" borderId="4" xfId="0" applyNumberFormat="1" applyFont="1" applyFill="1" applyBorder="1" applyAlignment="1">
      <alignment horizontal="right" vertical="top" wrapText="1"/>
    </xf>
    <xf numFmtId="4" fontId="13" fillId="7" borderId="7" xfId="0" applyNumberFormat="1" applyFont="1" applyFill="1" applyBorder="1" applyAlignment="1">
      <alignment horizontal="right" vertical="top" wrapText="1"/>
    </xf>
    <xf numFmtId="0" fontId="2" fillId="15" borderId="0" xfId="0" applyFont="1" applyFill="1"/>
    <xf numFmtId="0" fontId="2" fillId="18" borderId="0" xfId="0" applyFont="1" applyFill="1" applyAlignment="1">
      <alignment vertical="top" wrapText="1"/>
    </xf>
    <xf numFmtId="0" fontId="13" fillId="14" borderId="0" xfId="0" applyFont="1" applyFill="1" applyBorder="1" applyAlignment="1">
      <alignment horizontal="center" vertical="center" wrapText="1"/>
    </xf>
    <xf numFmtId="0" fontId="13" fillId="14" borderId="0" xfId="0" applyFont="1" applyFill="1" applyBorder="1" applyAlignment="1">
      <alignment vertical="top" wrapText="1"/>
    </xf>
    <xf numFmtId="0" fontId="13" fillId="9" borderId="0" xfId="0" applyFont="1" applyFill="1" applyBorder="1" applyAlignment="1">
      <alignment horizontal="center" vertical="top" wrapText="1"/>
    </xf>
    <xf numFmtId="164" fontId="13" fillId="5" borderId="0" xfId="0" applyNumberFormat="1" applyFont="1" applyFill="1" applyBorder="1" applyAlignment="1">
      <alignment horizontal="right" vertical="top" wrapText="1"/>
    </xf>
    <xf numFmtId="4" fontId="13" fillId="7" borderId="0" xfId="0" applyNumberFormat="1" applyFont="1" applyFill="1" applyBorder="1" applyAlignment="1">
      <alignment horizontal="right" vertical="top" wrapText="1"/>
    </xf>
    <xf numFmtId="44" fontId="1" fillId="0" borderId="11" xfId="2" applyFont="1" applyBorder="1" applyAlignment="1">
      <alignment horizontal="center" vertical="center"/>
    </xf>
    <xf numFmtId="0" fontId="1" fillId="6" borderId="7" xfId="0" applyFont="1" applyFill="1" applyBorder="1" applyAlignment="1">
      <alignment vertical="top" wrapText="1"/>
    </xf>
    <xf numFmtId="0" fontId="1" fillId="13" borderId="7" xfId="0" applyFont="1" applyFill="1" applyBorder="1" applyAlignment="1">
      <alignment horizontal="right" vertical="top" wrapText="1"/>
    </xf>
    <xf numFmtId="0" fontId="14" fillId="15" borderId="8" xfId="9" applyFont="1" applyFill="1" applyBorder="1" applyAlignment="1">
      <alignment vertical="center"/>
    </xf>
    <xf numFmtId="0" fontId="14" fillId="15" borderId="9" xfId="9" applyFont="1" applyFill="1" applyBorder="1" applyAlignment="1">
      <alignment vertical="center"/>
    </xf>
    <xf numFmtId="0" fontId="4" fillId="15" borderId="9" xfId="9" applyFont="1" applyFill="1" applyBorder="1" applyAlignment="1">
      <alignment horizontal="left" vertical="center"/>
    </xf>
    <xf numFmtId="0" fontId="4" fillId="15" borderId="9" xfId="9" applyFont="1" applyFill="1" applyBorder="1" applyAlignment="1">
      <alignment horizontal="center" vertical="center"/>
    </xf>
    <xf numFmtId="167" fontId="4" fillId="15" borderId="9" xfId="10" applyFont="1" applyFill="1" applyBorder="1" applyAlignment="1">
      <alignment horizontal="center" vertical="center"/>
    </xf>
    <xf numFmtId="0" fontId="4" fillId="15" borderId="9" xfId="9" applyFont="1" applyFill="1" applyBorder="1" applyAlignment="1">
      <alignment vertical="center"/>
    </xf>
    <xf numFmtId="0" fontId="4" fillId="19" borderId="27" xfId="11" applyFill="1" applyBorder="1" applyAlignment="1">
      <alignment horizontal="center"/>
    </xf>
    <xf numFmtId="0" fontId="4" fillId="19" borderId="28" xfId="11" applyFill="1" applyBorder="1" applyAlignment="1">
      <alignment horizontal="center"/>
    </xf>
    <xf numFmtId="0" fontId="4" fillId="19" borderId="29" xfId="11" applyFill="1" applyBorder="1" applyAlignment="1">
      <alignment horizontal="center"/>
    </xf>
    <xf numFmtId="0" fontId="4" fillId="0" borderId="30" xfId="11" applyBorder="1" applyAlignment="1">
      <alignment horizontal="center"/>
    </xf>
    <xf numFmtId="0" fontId="14" fillId="19" borderId="11" xfId="11" applyNumberFormat="1" applyFont="1" applyFill="1" applyBorder="1"/>
    <xf numFmtId="167" fontId="0" fillId="0" borderId="11" xfId="10" applyFont="1" applyBorder="1" applyAlignment="1">
      <alignment horizontal="center"/>
    </xf>
    <xf numFmtId="10" fontId="0" fillId="0" borderId="11" xfId="6" applyNumberFormat="1" applyFont="1" applyBorder="1" applyAlignment="1">
      <alignment horizontal="center"/>
    </xf>
    <xf numFmtId="10" fontId="4" fillId="15" borderId="11" xfId="6" applyNumberFormat="1" applyFont="1" applyFill="1" applyBorder="1"/>
    <xf numFmtId="9" fontId="4" fillId="15" borderId="20" xfId="8" applyFont="1" applyFill="1" applyBorder="1"/>
    <xf numFmtId="0" fontId="14" fillId="0" borderId="11" xfId="11" applyFont="1" applyBorder="1"/>
    <xf numFmtId="167" fontId="4" fillId="15" borderId="11" xfId="11" applyNumberFormat="1" applyFill="1" applyBorder="1"/>
    <xf numFmtId="44" fontId="4" fillId="15" borderId="20" xfId="2" applyFont="1" applyFill="1" applyBorder="1"/>
    <xf numFmtId="10" fontId="4" fillId="15" borderId="11" xfId="8" applyNumberFormat="1" applyFont="1" applyFill="1" applyBorder="1"/>
    <xf numFmtId="9" fontId="4" fillId="15" borderId="11" xfId="6" applyFont="1" applyFill="1" applyBorder="1"/>
    <xf numFmtId="9" fontId="4" fillId="15" borderId="11" xfId="8" applyFont="1" applyFill="1" applyBorder="1"/>
    <xf numFmtId="0" fontId="4" fillId="0" borderId="11" xfId="11" applyBorder="1"/>
    <xf numFmtId="0" fontId="4" fillId="15" borderId="11" xfId="11" applyFill="1" applyBorder="1"/>
    <xf numFmtId="167" fontId="14" fillId="15" borderId="27" xfId="10" applyFont="1" applyFill="1" applyBorder="1"/>
    <xf numFmtId="10" fontId="14" fillId="15" borderId="29" xfId="11" applyNumberFormat="1" applyFont="1" applyFill="1" applyBorder="1"/>
    <xf numFmtId="167" fontId="4" fillId="15" borderId="11" xfId="11" applyNumberFormat="1" applyFont="1" applyFill="1" applyBorder="1"/>
    <xf numFmtId="10" fontId="15" fillId="15" borderId="11" xfId="6" applyNumberFormat="1" applyFont="1" applyFill="1" applyBorder="1"/>
    <xf numFmtId="0" fontId="16" fillId="21" borderId="35" xfId="12" applyFont="1" applyFill="1" applyBorder="1" applyAlignment="1">
      <alignment horizontal="center"/>
    </xf>
    <xf numFmtId="0" fontId="17" fillId="15" borderId="33" xfId="12" applyFont="1" applyFill="1" applyBorder="1"/>
    <xf numFmtId="0" fontId="17" fillId="15" borderId="0" xfId="12" applyFont="1" applyFill="1" applyBorder="1" applyAlignment="1">
      <alignment horizontal="center"/>
    </xf>
    <xf numFmtId="10" fontId="18" fillId="15" borderId="36" xfId="6" applyNumberFormat="1" applyFont="1" applyFill="1" applyBorder="1" applyAlignment="1">
      <alignment horizontal="center"/>
    </xf>
    <xf numFmtId="0" fontId="17" fillId="15" borderId="0" xfId="12" applyFont="1" applyFill="1" applyBorder="1" applyAlignment="1">
      <alignment horizontal="center" vertical="center"/>
    </xf>
    <xf numFmtId="0" fontId="17" fillId="15" borderId="37" xfId="12" applyFont="1" applyFill="1" applyBorder="1"/>
    <xf numFmtId="0" fontId="19" fillId="15" borderId="38" xfId="12" applyFont="1" applyFill="1" applyBorder="1" applyAlignment="1">
      <alignment horizontal="right"/>
    </xf>
    <xf numFmtId="10" fontId="19" fillId="15" borderId="39" xfId="12" applyNumberFormat="1" applyFont="1" applyFill="1" applyBorder="1" applyAlignment="1">
      <alignment horizontal="center"/>
    </xf>
    <xf numFmtId="0" fontId="19" fillId="15" borderId="0" xfId="12" applyFont="1" applyFill="1" applyBorder="1" applyAlignment="1">
      <alignment horizontal="right"/>
    </xf>
    <xf numFmtId="10" fontId="19" fillId="15" borderId="36" xfId="12" applyNumberFormat="1" applyFont="1" applyFill="1" applyBorder="1" applyAlignment="1">
      <alignment horizontal="center"/>
    </xf>
    <xf numFmtId="0" fontId="16" fillId="21" borderId="41" xfId="12" applyFont="1" applyFill="1" applyBorder="1" applyAlignment="1">
      <alignment horizontal="center"/>
    </xf>
    <xf numFmtId="0" fontId="17" fillId="15" borderId="40" xfId="12" applyFont="1" applyFill="1" applyBorder="1"/>
    <xf numFmtId="0" fontId="17" fillId="15" borderId="18" xfId="12" applyFont="1" applyFill="1" applyBorder="1"/>
    <xf numFmtId="10" fontId="18" fillId="15" borderId="41" xfId="6" applyNumberFormat="1" applyFont="1" applyFill="1" applyBorder="1" applyAlignment="1">
      <alignment horizontal="center"/>
    </xf>
    <xf numFmtId="0" fontId="17" fillId="15" borderId="0" xfId="12" applyFont="1" applyFill="1" applyBorder="1"/>
    <xf numFmtId="0" fontId="17" fillId="15" borderId="36" xfId="12" applyFont="1" applyFill="1" applyBorder="1" applyAlignment="1">
      <alignment horizontal="center"/>
    </xf>
    <xf numFmtId="0" fontId="17" fillId="15" borderId="33" xfId="12" applyFont="1" applyFill="1" applyBorder="1" applyAlignment="1">
      <alignment horizontal="left"/>
    </xf>
    <xf numFmtId="0" fontId="20" fillId="15" borderId="33" xfId="12" applyFont="1" applyFill="1" applyBorder="1" applyAlignment="1">
      <alignment horizontal="left"/>
    </xf>
    <xf numFmtId="0" fontId="20" fillId="15" borderId="0" xfId="12" applyFont="1" applyFill="1" applyBorder="1"/>
    <xf numFmtId="10" fontId="20" fillId="15" borderId="36" xfId="6" applyNumberFormat="1" applyFont="1" applyFill="1" applyBorder="1" applyAlignment="1">
      <alignment horizontal="center"/>
    </xf>
    <xf numFmtId="0" fontId="17" fillId="15" borderId="42" xfId="12" applyFont="1" applyFill="1" applyBorder="1"/>
    <xf numFmtId="0" fontId="19" fillId="15" borderId="43" xfId="12" applyFont="1" applyFill="1" applyBorder="1" applyAlignment="1">
      <alignment horizontal="right"/>
    </xf>
    <xf numFmtId="10" fontId="19" fillId="15" borderId="44" xfId="12" applyNumberFormat="1" applyFont="1" applyFill="1" applyBorder="1" applyAlignment="1">
      <alignment horizontal="center"/>
    </xf>
    <xf numFmtId="0" fontId="21" fillId="21" borderId="40" xfId="12" applyFont="1" applyFill="1" applyBorder="1" applyAlignment="1">
      <alignment vertical="center"/>
    </xf>
    <xf numFmtId="0" fontId="21" fillId="21" borderId="18" xfId="12" applyFont="1" applyFill="1" applyBorder="1" applyAlignment="1">
      <alignment vertical="center"/>
    </xf>
    <xf numFmtId="10" fontId="22" fillId="21" borderId="41" xfId="8" applyNumberFormat="1" applyFont="1" applyFill="1" applyBorder="1" applyAlignment="1" applyProtection="1">
      <alignment horizontal="center" vertical="center"/>
    </xf>
    <xf numFmtId="0" fontId="23" fillId="15" borderId="33" xfId="12" applyFont="1" applyFill="1" applyBorder="1"/>
    <xf numFmtId="0" fontId="17" fillId="15" borderId="36" xfId="12" applyFont="1" applyFill="1" applyBorder="1"/>
    <xf numFmtId="0" fontId="0" fillId="15" borderId="0" xfId="0" applyFill="1" applyAlignment="1">
      <alignment horizontal="left" vertical="top"/>
    </xf>
    <xf numFmtId="0" fontId="25" fillId="20" borderId="13" xfId="0" applyFont="1" applyFill="1" applyBorder="1" applyAlignment="1">
      <alignment horizontal="center" vertical="center" wrapText="1"/>
    </xf>
    <xf numFmtId="0" fontId="25" fillId="20" borderId="14" xfId="0" applyFont="1" applyFill="1" applyBorder="1" applyAlignment="1">
      <alignment horizontal="center" vertical="center" wrapText="1"/>
    </xf>
    <xf numFmtId="0" fontId="27" fillId="15" borderId="33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vertical="center" wrapText="1"/>
    </xf>
    <xf numFmtId="10" fontId="27" fillId="15" borderId="0" xfId="0" applyNumberFormat="1" applyFont="1" applyFill="1" applyBorder="1" applyAlignment="1">
      <alignment horizontal="center" vertical="center"/>
    </xf>
    <xf numFmtId="10" fontId="27" fillId="15" borderId="36" xfId="0" applyNumberFormat="1" applyFont="1" applyFill="1" applyBorder="1" applyAlignment="1">
      <alignment horizontal="center" vertical="center"/>
    </xf>
    <xf numFmtId="0" fontId="26" fillId="15" borderId="34" xfId="0" applyFont="1" applyFill="1" applyBorder="1" applyAlignment="1">
      <alignment horizontal="center" vertical="center"/>
    </xf>
    <xf numFmtId="0" fontId="26" fillId="15" borderId="22" xfId="0" applyFont="1" applyFill="1" applyBorder="1" applyAlignment="1">
      <alignment horizontal="center" vertical="center" wrapText="1"/>
    </xf>
    <xf numFmtId="10" fontId="26" fillId="15" borderId="22" xfId="0" applyNumberFormat="1" applyFont="1" applyFill="1" applyBorder="1" applyAlignment="1">
      <alignment horizontal="center" vertical="center"/>
    </xf>
    <xf numFmtId="10" fontId="26" fillId="15" borderId="35" xfId="0" applyNumberFormat="1" applyFont="1" applyFill="1" applyBorder="1" applyAlignment="1">
      <alignment horizontal="center" vertical="center"/>
    </xf>
    <xf numFmtId="0" fontId="27" fillId="15" borderId="36" xfId="0" applyFont="1" applyFill="1" applyBorder="1" applyAlignment="1">
      <alignment horizontal="center" vertical="center"/>
    </xf>
    <xf numFmtId="10" fontId="25" fillId="20" borderId="13" xfId="0" applyNumberFormat="1" applyFont="1" applyFill="1" applyBorder="1" applyAlignment="1">
      <alignment horizontal="center" vertical="center"/>
    </xf>
    <xf numFmtId="10" fontId="25" fillId="20" borderId="14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top" wrapText="1"/>
    </xf>
    <xf numFmtId="0" fontId="2" fillId="11" borderId="0" xfId="0" applyFont="1" applyFill="1" applyAlignment="1">
      <alignment vertical="top" wrapText="1"/>
    </xf>
    <xf numFmtId="10" fontId="2" fillId="18" borderId="0" xfId="0" applyNumberFormat="1" applyFont="1" applyFill="1" applyAlignment="1">
      <alignment horizontal="left" vertical="center" wrapText="1"/>
    </xf>
    <xf numFmtId="0" fontId="1" fillId="12" borderId="24" xfId="0" applyFont="1" applyFill="1" applyBorder="1" applyAlignment="1">
      <alignment horizontal="center" vertical="top" wrapText="1"/>
    </xf>
    <xf numFmtId="0" fontId="1" fillId="12" borderId="25" xfId="0" applyFont="1" applyFill="1" applyBorder="1" applyAlignment="1">
      <alignment horizontal="center" vertical="top" wrapText="1"/>
    </xf>
    <xf numFmtId="0" fontId="1" fillId="12" borderId="26" xfId="0" applyFont="1" applyFill="1" applyBorder="1" applyAlignment="1">
      <alignment horizontal="center" vertical="top" wrapText="1"/>
    </xf>
    <xf numFmtId="0" fontId="4" fillId="0" borderId="17" xfId="3" applyBorder="1" applyAlignment="1">
      <alignment horizontal="center"/>
    </xf>
    <xf numFmtId="0" fontId="4" fillId="0" borderId="18" xfId="3" applyBorder="1" applyAlignment="1">
      <alignment horizontal="center"/>
    </xf>
    <xf numFmtId="0" fontId="4" fillId="0" borderId="19" xfId="3" applyBorder="1" applyAlignment="1">
      <alignment horizont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9" fillId="17" borderId="11" xfId="3" applyFont="1" applyFill="1" applyBorder="1" applyAlignment="1">
      <alignment horizontal="left" vertical="center" wrapText="1"/>
    </xf>
    <xf numFmtId="0" fontId="5" fillId="0" borderId="11" xfId="3" applyFont="1" applyBorder="1" applyAlignment="1">
      <alignment horizontal="center" vertical="center"/>
    </xf>
    <xf numFmtId="0" fontId="5" fillId="15" borderId="8" xfId="3" applyFont="1" applyFill="1" applyBorder="1" applyAlignment="1">
      <alignment horizontal="center" vertical="center"/>
    </xf>
    <xf numFmtId="0" fontId="5" fillId="15" borderId="9" xfId="3" applyFont="1" applyFill="1" applyBorder="1" applyAlignment="1">
      <alignment horizontal="center" vertical="center"/>
    </xf>
    <xf numFmtId="0" fontId="5" fillId="15" borderId="10" xfId="3" applyFont="1" applyFill="1" applyBorder="1" applyAlignment="1">
      <alignment horizontal="center" vertical="center"/>
    </xf>
    <xf numFmtId="0" fontId="5" fillId="15" borderId="12" xfId="3" applyFont="1" applyFill="1" applyBorder="1" applyAlignment="1">
      <alignment horizontal="center" vertical="center"/>
    </xf>
    <xf numFmtId="0" fontId="5" fillId="15" borderId="13" xfId="3" applyFont="1" applyFill="1" applyBorder="1" applyAlignment="1">
      <alignment horizontal="center" vertical="center"/>
    </xf>
    <xf numFmtId="0" fontId="5" fillId="15" borderId="14" xfId="3" applyFont="1" applyFill="1" applyBorder="1" applyAlignment="1">
      <alignment horizontal="center" vertical="center"/>
    </xf>
    <xf numFmtId="10" fontId="6" fillId="16" borderId="11" xfId="4" applyNumberFormat="1" applyFont="1" applyFill="1" applyBorder="1" applyAlignment="1">
      <alignment horizontal="center" vertical="center" wrapText="1"/>
    </xf>
    <xf numFmtId="0" fontId="4" fillId="0" borderId="11" xfId="3" applyBorder="1" applyAlignment="1">
      <alignment horizontal="center" vertical="center"/>
    </xf>
    <xf numFmtId="0" fontId="7" fillId="15" borderId="0" xfId="3" applyFont="1" applyFill="1" applyBorder="1" applyAlignment="1">
      <alignment horizontal="left" vertical="center" wrapText="1"/>
    </xf>
    <xf numFmtId="0" fontId="7" fillId="15" borderId="16" xfId="3" applyFont="1" applyFill="1" applyBorder="1" applyAlignment="1">
      <alignment horizontal="left" vertical="center" wrapText="1"/>
    </xf>
    <xf numFmtId="0" fontId="8" fillId="15" borderId="0" xfId="3" applyFont="1" applyFill="1" applyBorder="1" applyAlignment="1">
      <alignment horizontal="left" vertical="center"/>
    </xf>
    <xf numFmtId="0" fontId="4" fillId="0" borderId="17" xfId="3" applyBorder="1" applyAlignment="1">
      <alignment horizontal="left"/>
    </xf>
    <xf numFmtId="0" fontId="4" fillId="0" borderId="18" xfId="3" applyBorder="1" applyAlignment="1">
      <alignment horizontal="left"/>
    </xf>
    <xf numFmtId="0" fontId="4" fillId="0" borderId="19" xfId="3" applyBorder="1" applyAlignment="1">
      <alignment horizontal="left"/>
    </xf>
    <xf numFmtId="9" fontId="4" fillId="19" borderId="11" xfId="8" applyFont="1" applyFill="1" applyBorder="1" applyAlignment="1">
      <alignment horizontal="center" vertical="center"/>
    </xf>
    <xf numFmtId="0" fontId="14" fillId="0" borderId="9" xfId="9" applyFont="1" applyBorder="1" applyAlignment="1">
      <alignment horizontal="center" vertical="center"/>
    </xf>
    <xf numFmtId="0" fontId="4" fillId="15" borderId="24" xfId="11" applyFill="1" applyBorder="1" applyAlignment="1">
      <alignment horizontal="center"/>
    </xf>
    <xf numFmtId="0" fontId="4" fillId="15" borderId="26" xfId="11" applyFill="1" applyBorder="1" applyAlignment="1">
      <alignment horizontal="center"/>
    </xf>
    <xf numFmtId="44" fontId="14" fillId="15" borderId="31" xfId="8" applyNumberFormat="1" applyFont="1" applyFill="1" applyBorder="1" applyAlignment="1">
      <alignment horizontal="center" vertical="center"/>
    </xf>
    <xf numFmtId="9" fontId="14" fillId="15" borderId="32" xfId="8" applyFont="1" applyFill="1" applyBorder="1" applyAlignment="1">
      <alignment horizontal="center" vertical="center"/>
    </xf>
    <xf numFmtId="9" fontId="14" fillId="15" borderId="20" xfId="8" applyFont="1" applyFill="1" applyBorder="1" applyAlignment="1">
      <alignment horizontal="center" vertical="center"/>
    </xf>
    <xf numFmtId="0" fontId="4" fillId="15" borderId="8" xfId="11" applyFill="1" applyBorder="1" applyAlignment="1">
      <alignment horizontal="center" vertical="center"/>
    </xf>
    <xf numFmtId="0" fontId="4" fillId="15" borderId="9" xfId="11" applyFill="1" applyBorder="1" applyAlignment="1">
      <alignment horizontal="center" vertical="center"/>
    </xf>
    <xf numFmtId="0" fontId="4" fillId="15" borderId="33" xfId="11" applyFill="1" applyBorder="1" applyAlignment="1">
      <alignment horizontal="center" vertical="center"/>
    </xf>
    <xf numFmtId="0" fontId="4" fillId="15" borderId="0" xfId="11" applyFill="1" applyBorder="1" applyAlignment="1">
      <alignment horizontal="center" vertical="center"/>
    </xf>
    <xf numFmtId="0" fontId="4" fillId="15" borderId="12" xfId="11" applyFill="1" applyBorder="1" applyAlignment="1">
      <alignment horizontal="center" vertical="center"/>
    </xf>
    <xf numFmtId="0" fontId="4" fillId="15" borderId="13" xfId="11" applyFill="1" applyBorder="1" applyAlignment="1">
      <alignment horizontal="center" vertical="center"/>
    </xf>
    <xf numFmtId="0" fontId="16" fillId="20" borderId="24" xfId="12" applyFont="1" applyFill="1" applyBorder="1" applyAlignment="1">
      <alignment horizontal="center"/>
    </xf>
    <xf numFmtId="0" fontId="16" fillId="20" borderId="25" xfId="12" applyFont="1" applyFill="1" applyBorder="1" applyAlignment="1">
      <alignment horizontal="center"/>
    </xf>
    <xf numFmtId="0" fontId="16" fillId="20" borderId="26" xfId="12" applyFont="1" applyFill="1" applyBorder="1" applyAlignment="1">
      <alignment horizontal="center"/>
    </xf>
    <xf numFmtId="0" fontId="16" fillId="21" borderId="34" xfId="12" applyFont="1" applyFill="1" applyBorder="1" applyAlignment="1">
      <alignment horizontal="center"/>
    </xf>
    <xf numFmtId="0" fontId="16" fillId="21" borderId="22" xfId="12" applyFont="1" applyFill="1" applyBorder="1" applyAlignment="1">
      <alignment horizontal="center"/>
    </xf>
    <xf numFmtId="0" fontId="16" fillId="21" borderId="40" xfId="12" applyFont="1" applyFill="1" applyBorder="1" applyAlignment="1">
      <alignment horizontal="center"/>
    </xf>
    <xf numFmtId="0" fontId="16" fillId="21" borderId="18" xfId="12" applyFont="1" applyFill="1" applyBorder="1" applyAlignment="1">
      <alignment horizontal="center"/>
    </xf>
    <xf numFmtId="0" fontId="26" fillId="15" borderId="33" xfId="0" applyFont="1" applyFill="1" applyBorder="1" applyAlignment="1">
      <alignment horizontal="center" vertical="center"/>
    </xf>
    <xf numFmtId="0" fontId="26" fillId="15" borderId="0" xfId="0" applyFont="1" applyFill="1" applyBorder="1" applyAlignment="1">
      <alignment horizontal="center" vertical="center"/>
    </xf>
    <xf numFmtId="0" fontId="26" fillId="15" borderId="36" xfId="0" applyFont="1" applyFill="1" applyBorder="1" applyAlignment="1">
      <alignment horizontal="center" vertical="center"/>
    </xf>
    <xf numFmtId="0" fontId="25" fillId="20" borderId="12" xfId="0" applyFont="1" applyFill="1" applyBorder="1" applyAlignment="1">
      <alignment horizontal="center" vertical="center"/>
    </xf>
    <xf numFmtId="0" fontId="25" fillId="20" borderId="13" xfId="0" applyFont="1" applyFill="1" applyBorder="1" applyAlignment="1">
      <alignment horizontal="center" vertical="center"/>
    </xf>
    <xf numFmtId="0" fontId="24" fillId="20" borderId="24" xfId="0" applyFont="1" applyFill="1" applyBorder="1" applyAlignment="1">
      <alignment horizontal="center" vertical="center"/>
    </xf>
    <xf numFmtId="0" fontId="24" fillId="20" borderId="25" xfId="0" applyFont="1" applyFill="1" applyBorder="1" applyAlignment="1">
      <alignment horizontal="center" vertical="center"/>
    </xf>
    <xf numFmtId="0" fontId="24" fillId="20" borderId="26" xfId="0" applyFont="1" applyFill="1" applyBorder="1" applyAlignment="1">
      <alignment horizontal="center" vertical="center"/>
    </xf>
    <xf numFmtId="0" fontId="21" fillId="20" borderId="24" xfId="0" applyFont="1" applyFill="1" applyBorder="1" applyAlignment="1">
      <alignment horizontal="center" vertical="center"/>
    </xf>
    <xf numFmtId="0" fontId="21" fillId="20" borderId="25" xfId="0" applyFont="1" applyFill="1" applyBorder="1" applyAlignment="1">
      <alignment horizontal="center" vertical="center"/>
    </xf>
    <xf numFmtId="0" fontId="21" fillId="20" borderId="26" xfId="0" applyFont="1" applyFill="1" applyBorder="1" applyAlignment="1">
      <alignment horizontal="center" vertical="center"/>
    </xf>
    <xf numFmtId="0" fontId="25" fillId="20" borderId="8" xfId="0" applyFont="1" applyFill="1" applyBorder="1" applyAlignment="1">
      <alignment horizontal="center" vertical="center" wrapText="1"/>
    </xf>
    <xf numFmtId="0" fontId="25" fillId="20" borderId="12" xfId="0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</cellXfs>
  <cellStyles count="13">
    <cellStyle name="Moeda" xfId="2" builtinId="4"/>
    <cellStyle name="Moeda 2" xfId="5"/>
    <cellStyle name="Normal" xfId="0" builtinId="0"/>
    <cellStyle name="Normal 11 2" xfId="9"/>
    <cellStyle name="Normal 2" xfId="11"/>
    <cellStyle name="Normal 2 2" xfId="12"/>
    <cellStyle name="Normal 5" xfId="3"/>
    <cellStyle name="Porcentagem" xfId="8" builtinId="5"/>
    <cellStyle name="Porcentagem 2 2" xfId="6"/>
    <cellStyle name="Porcentagem 3" xfId="4"/>
    <cellStyle name="Vírgula" xfId="1" builtinId="3"/>
    <cellStyle name="Vírgula 2 2" xfId="10"/>
    <cellStyle name="Vírgula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85725</xdr:rowOff>
    </xdr:from>
    <xdr:to>
      <xdr:col>8</xdr:col>
      <xdr:colOff>866775</xdr:colOff>
      <xdr:row>18</xdr:row>
      <xdr:rowOff>85725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1051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29</xdr:row>
      <xdr:rowOff>85725</xdr:rowOff>
    </xdr:from>
    <xdr:to>
      <xdr:col>8</xdr:col>
      <xdr:colOff>866775</xdr:colOff>
      <xdr:row>29</xdr:row>
      <xdr:rowOff>85725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4480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37</xdr:row>
      <xdr:rowOff>85725</xdr:rowOff>
    </xdr:from>
    <xdr:to>
      <xdr:col>8</xdr:col>
      <xdr:colOff>866775</xdr:colOff>
      <xdr:row>37</xdr:row>
      <xdr:rowOff>85725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6004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46</xdr:row>
      <xdr:rowOff>85725</xdr:rowOff>
    </xdr:from>
    <xdr:to>
      <xdr:col>8</xdr:col>
      <xdr:colOff>866775</xdr:colOff>
      <xdr:row>46</xdr:row>
      <xdr:rowOff>85725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9298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54</xdr:row>
      <xdr:rowOff>85725</xdr:rowOff>
    </xdr:from>
    <xdr:to>
      <xdr:col>8</xdr:col>
      <xdr:colOff>866775</xdr:colOff>
      <xdr:row>54</xdr:row>
      <xdr:rowOff>85725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082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61</xdr:row>
      <xdr:rowOff>85725</xdr:rowOff>
    </xdr:from>
    <xdr:to>
      <xdr:col>8</xdr:col>
      <xdr:colOff>866775</xdr:colOff>
      <xdr:row>61</xdr:row>
      <xdr:rowOff>85725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3850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69</xdr:row>
      <xdr:rowOff>85725</xdr:rowOff>
    </xdr:from>
    <xdr:to>
      <xdr:col>8</xdr:col>
      <xdr:colOff>866775</xdr:colOff>
      <xdr:row>69</xdr:row>
      <xdr:rowOff>85725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7584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76</xdr:row>
      <xdr:rowOff>85725</xdr:rowOff>
    </xdr:from>
    <xdr:to>
      <xdr:col>8</xdr:col>
      <xdr:colOff>866775</xdr:colOff>
      <xdr:row>76</xdr:row>
      <xdr:rowOff>85725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2270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85</xdr:row>
      <xdr:rowOff>85725</xdr:rowOff>
    </xdr:from>
    <xdr:to>
      <xdr:col>8</xdr:col>
      <xdr:colOff>866775</xdr:colOff>
      <xdr:row>85</xdr:row>
      <xdr:rowOff>85725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78333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93</xdr:row>
      <xdr:rowOff>85725</xdr:rowOff>
    </xdr:from>
    <xdr:to>
      <xdr:col>8</xdr:col>
      <xdr:colOff>866775</xdr:colOff>
      <xdr:row>93</xdr:row>
      <xdr:rowOff>85725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9471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100</xdr:row>
      <xdr:rowOff>85725</xdr:rowOff>
    </xdr:from>
    <xdr:to>
      <xdr:col>8</xdr:col>
      <xdr:colOff>866775</xdr:colOff>
      <xdr:row>100</xdr:row>
      <xdr:rowOff>85725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84975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107</xdr:row>
      <xdr:rowOff>85725</xdr:rowOff>
    </xdr:from>
    <xdr:to>
      <xdr:col>8</xdr:col>
      <xdr:colOff>866775</xdr:colOff>
      <xdr:row>107</xdr:row>
      <xdr:rowOff>85725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84975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115</xdr:row>
      <xdr:rowOff>85725</xdr:rowOff>
    </xdr:from>
    <xdr:to>
      <xdr:col>8</xdr:col>
      <xdr:colOff>866775</xdr:colOff>
      <xdr:row>115</xdr:row>
      <xdr:rowOff>85725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7853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123</xdr:row>
      <xdr:rowOff>85725</xdr:rowOff>
    </xdr:from>
    <xdr:to>
      <xdr:col>8</xdr:col>
      <xdr:colOff>866775</xdr:colOff>
      <xdr:row>123</xdr:row>
      <xdr:rowOff>85725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9377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133</xdr:row>
      <xdr:rowOff>85725</xdr:rowOff>
    </xdr:from>
    <xdr:to>
      <xdr:col>8</xdr:col>
      <xdr:colOff>866775</xdr:colOff>
      <xdr:row>133</xdr:row>
      <xdr:rowOff>85725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1282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141</xdr:row>
      <xdr:rowOff>85725</xdr:rowOff>
    </xdr:from>
    <xdr:to>
      <xdr:col>8</xdr:col>
      <xdr:colOff>866775</xdr:colOff>
      <xdr:row>141</xdr:row>
      <xdr:rowOff>85725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42125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150</xdr:row>
      <xdr:rowOff>85725</xdr:rowOff>
    </xdr:from>
    <xdr:to>
      <xdr:col>8</xdr:col>
      <xdr:colOff>866775</xdr:colOff>
      <xdr:row>150</xdr:row>
      <xdr:rowOff>85725</xdr:rowOff>
    </xdr:to>
    <xdr:cxnSp macro="">
      <xdr:nvCxnSpPr>
        <xdr:cNvPr id="19" name="Conector reto 1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4424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160</xdr:row>
      <xdr:rowOff>85725</xdr:rowOff>
    </xdr:from>
    <xdr:to>
      <xdr:col>8</xdr:col>
      <xdr:colOff>866775</xdr:colOff>
      <xdr:row>160</xdr:row>
      <xdr:rowOff>85725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2710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169</xdr:row>
      <xdr:rowOff>85725</xdr:rowOff>
    </xdr:from>
    <xdr:to>
      <xdr:col>8</xdr:col>
      <xdr:colOff>866775</xdr:colOff>
      <xdr:row>169</xdr:row>
      <xdr:rowOff>85725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12610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179</xdr:row>
      <xdr:rowOff>85725</xdr:rowOff>
    </xdr:from>
    <xdr:to>
      <xdr:col>8</xdr:col>
      <xdr:colOff>866775</xdr:colOff>
      <xdr:row>179</xdr:row>
      <xdr:rowOff>85725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6329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190</xdr:row>
      <xdr:rowOff>85725</xdr:rowOff>
    </xdr:from>
    <xdr:to>
      <xdr:col>8</xdr:col>
      <xdr:colOff>866775</xdr:colOff>
      <xdr:row>190</xdr:row>
      <xdr:rowOff>85725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3378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199</xdr:row>
      <xdr:rowOff>85725</xdr:rowOff>
    </xdr:from>
    <xdr:to>
      <xdr:col>8</xdr:col>
      <xdr:colOff>866775</xdr:colOff>
      <xdr:row>199</xdr:row>
      <xdr:rowOff>85725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69760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205</xdr:row>
      <xdr:rowOff>85725</xdr:rowOff>
    </xdr:from>
    <xdr:to>
      <xdr:col>8</xdr:col>
      <xdr:colOff>866775</xdr:colOff>
      <xdr:row>205</xdr:row>
      <xdr:rowOff>85725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1988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211</xdr:row>
      <xdr:rowOff>85725</xdr:rowOff>
    </xdr:from>
    <xdr:to>
      <xdr:col>8</xdr:col>
      <xdr:colOff>866775</xdr:colOff>
      <xdr:row>211</xdr:row>
      <xdr:rowOff>85725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3131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224</xdr:row>
      <xdr:rowOff>85725</xdr:rowOff>
    </xdr:from>
    <xdr:to>
      <xdr:col>8</xdr:col>
      <xdr:colOff>866775</xdr:colOff>
      <xdr:row>224</xdr:row>
      <xdr:rowOff>85725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3228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237</xdr:row>
      <xdr:rowOff>85725</xdr:rowOff>
    </xdr:from>
    <xdr:to>
      <xdr:col>8</xdr:col>
      <xdr:colOff>866775</xdr:colOff>
      <xdr:row>237</xdr:row>
      <xdr:rowOff>85725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5722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245</xdr:row>
      <xdr:rowOff>85725</xdr:rowOff>
    </xdr:from>
    <xdr:to>
      <xdr:col>8</xdr:col>
      <xdr:colOff>866775</xdr:colOff>
      <xdr:row>245</xdr:row>
      <xdr:rowOff>85725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8999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253</xdr:row>
      <xdr:rowOff>85725</xdr:rowOff>
    </xdr:from>
    <xdr:to>
      <xdr:col>8</xdr:col>
      <xdr:colOff>866775</xdr:colOff>
      <xdr:row>253</xdr:row>
      <xdr:rowOff>85725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77964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261</xdr:row>
      <xdr:rowOff>85725</xdr:rowOff>
    </xdr:from>
    <xdr:to>
      <xdr:col>8</xdr:col>
      <xdr:colOff>866775</xdr:colOff>
      <xdr:row>261</xdr:row>
      <xdr:rowOff>85725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0637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276</xdr:row>
      <xdr:rowOff>85725</xdr:rowOff>
    </xdr:from>
    <xdr:to>
      <xdr:col>8</xdr:col>
      <xdr:colOff>866775</xdr:colOff>
      <xdr:row>276</xdr:row>
      <xdr:rowOff>85725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2638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289</xdr:row>
      <xdr:rowOff>85725</xdr:rowOff>
    </xdr:from>
    <xdr:to>
      <xdr:col>8</xdr:col>
      <xdr:colOff>866775</xdr:colOff>
      <xdr:row>289</xdr:row>
      <xdr:rowOff>85725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78383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298</xdr:row>
      <xdr:rowOff>85725</xdr:rowOff>
    </xdr:from>
    <xdr:to>
      <xdr:col>8</xdr:col>
      <xdr:colOff>866775</xdr:colOff>
      <xdr:row>298</xdr:row>
      <xdr:rowOff>85725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9667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309</xdr:row>
      <xdr:rowOff>85725</xdr:rowOff>
    </xdr:from>
    <xdr:to>
      <xdr:col>8</xdr:col>
      <xdr:colOff>866775</xdr:colOff>
      <xdr:row>309</xdr:row>
      <xdr:rowOff>85725</xdr:rowOff>
    </xdr:to>
    <xdr:cxnSp macro="">
      <xdr:nvCxnSpPr>
        <xdr:cNvPr id="35" name="Conector reto 3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84644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318</xdr:row>
      <xdr:rowOff>85725</xdr:rowOff>
    </xdr:from>
    <xdr:to>
      <xdr:col>8</xdr:col>
      <xdr:colOff>866775</xdr:colOff>
      <xdr:row>318</xdr:row>
      <xdr:rowOff>85725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06742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325</xdr:row>
      <xdr:rowOff>85725</xdr:rowOff>
    </xdr:from>
    <xdr:to>
      <xdr:col>8</xdr:col>
      <xdr:colOff>866775</xdr:colOff>
      <xdr:row>325</xdr:row>
      <xdr:rowOff>85725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09550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332</xdr:row>
      <xdr:rowOff>85725</xdr:rowOff>
    </xdr:from>
    <xdr:to>
      <xdr:col>8</xdr:col>
      <xdr:colOff>866775</xdr:colOff>
      <xdr:row>332</xdr:row>
      <xdr:rowOff>85725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39508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338</xdr:row>
      <xdr:rowOff>85725</xdr:rowOff>
    </xdr:from>
    <xdr:to>
      <xdr:col>8</xdr:col>
      <xdr:colOff>866775</xdr:colOff>
      <xdr:row>338</xdr:row>
      <xdr:rowOff>85725</xdr:rowOff>
    </xdr:to>
    <xdr:cxnSp macro="">
      <xdr:nvCxnSpPr>
        <xdr:cNvPr id="40" name="Conector reto 3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7706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345</xdr:row>
      <xdr:rowOff>85725</xdr:rowOff>
    </xdr:from>
    <xdr:to>
      <xdr:col>8</xdr:col>
      <xdr:colOff>866775</xdr:colOff>
      <xdr:row>345</xdr:row>
      <xdr:rowOff>85725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4411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593065</xdr:colOff>
      <xdr:row>20</xdr:row>
      <xdr:rowOff>35944</xdr:rowOff>
    </xdr:from>
    <xdr:to>
      <xdr:col>2</xdr:col>
      <xdr:colOff>500870</xdr:colOff>
      <xdr:row>22</xdr:row>
      <xdr:rowOff>134788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0769BD6-CAA0-44C4-B892-074B9A50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65" y="3922144"/>
          <a:ext cx="4089280" cy="4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IROS%20Engenharia%20&amp;%20Assessoria/E.%20PAR&#193;/P.M.%20GARRAF&#195;O%20DO%20NORTE/bartolomeu%20dias/Reforma%20e%20Amplia&#231;&#227;o%20da%20Escola%20%20Bartolomeu-%20Or&#231;amento%20Sint&#233;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ADERNO DE COMPOSIÇÃO"/>
      <sheetName val="CRONOGRAMA"/>
      <sheetName val="BDI"/>
      <sheetName val="ENCARGOS SOCIAIS"/>
    </sheetNames>
    <sheetDataSet>
      <sheetData sheetId="0">
        <row r="2">
          <cell r="A2" t="str">
            <v>Obra: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3"/>
  <sheetViews>
    <sheetView tabSelected="1" view="pageBreakPreview" zoomScaleNormal="100" zoomScaleSheetLayoutView="100" workbookViewId="0">
      <selection activeCell="B3" sqref="B3:E3"/>
    </sheetView>
  </sheetViews>
  <sheetFormatPr defaultColWidth="9.140625" defaultRowHeight="12" x14ac:dyDescent="0.2"/>
  <cols>
    <col min="1" max="1" width="9.7109375" style="49" customWidth="1"/>
    <col min="2" max="2" width="7.85546875" style="49" bestFit="1" customWidth="1"/>
    <col min="3" max="3" width="6.42578125" style="49" customWidth="1"/>
    <col min="4" max="4" width="45.28515625" style="49" bestFit="1" customWidth="1"/>
    <col min="5" max="5" width="8" style="49" customWidth="1"/>
    <col min="6" max="6" width="5.85546875" style="49" customWidth="1"/>
    <col min="7" max="7" width="5.7109375" style="49" bestFit="1" customWidth="1"/>
    <col min="8" max="8" width="9.140625" style="49" customWidth="1"/>
    <col min="9" max="9" width="12.140625" style="49" customWidth="1"/>
    <col min="10" max="10" width="12.28515625" style="49" customWidth="1"/>
    <col min="11" max="16384" width="9.140625" style="49"/>
  </cols>
  <sheetData>
    <row r="1" spans="1:10" ht="15" customHeight="1" x14ac:dyDescent="0.2">
      <c r="A1" s="46" t="s">
        <v>156</v>
      </c>
      <c r="B1" s="141" t="s">
        <v>418</v>
      </c>
      <c r="C1" s="141"/>
      <c r="D1" s="141"/>
      <c r="E1" s="141"/>
      <c r="F1" s="141"/>
      <c r="G1" s="43"/>
      <c r="H1" s="43"/>
      <c r="I1" s="142"/>
      <c r="J1" s="61"/>
    </row>
    <row r="2" spans="1:10" x14ac:dyDescent="0.2">
      <c r="A2" s="46" t="s">
        <v>323</v>
      </c>
      <c r="B2" s="47">
        <f>BDI!C20</f>
        <v>0.24879999999999999</v>
      </c>
      <c r="C2" s="48"/>
      <c r="D2" s="48"/>
      <c r="E2" s="48"/>
      <c r="F2" s="48"/>
      <c r="G2" s="42"/>
      <c r="H2" s="42"/>
      <c r="I2" s="143"/>
      <c r="J2" s="61"/>
    </row>
    <row r="3" spans="1:10" ht="12.75" thickBot="1" x14ac:dyDescent="0.25">
      <c r="A3" s="46" t="s">
        <v>159</v>
      </c>
      <c r="B3" s="144" t="s">
        <v>324</v>
      </c>
      <c r="C3" s="144"/>
      <c r="D3" s="144"/>
      <c r="E3" s="144"/>
      <c r="F3" s="48"/>
      <c r="G3" s="42"/>
      <c r="H3" s="42"/>
      <c r="I3" s="42"/>
      <c r="J3" s="62"/>
    </row>
    <row r="4" spans="1:10" ht="15" customHeight="1" thickBot="1" x14ac:dyDescent="0.25">
      <c r="A4" s="145" t="s">
        <v>121</v>
      </c>
      <c r="B4" s="146"/>
      <c r="C4" s="146"/>
      <c r="D4" s="146"/>
      <c r="E4" s="146"/>
      <c r="F4" s="146"/>
      <c r="G4" s="146"/>
      <c r="H4" s="146"/>
      <c r="I4" s="146"/>
      <c r="J4" s="147"/>
    </row>
    <row r="5" spans="1:10" s="1" customFormat="1" ht="22.5" customHeight="1" x14ac:dyDescent="0.2">
      <c r="A5" s="69" t="s">
        <v>102</v>
      </c>
      <c r="B5" s="69" t="s">
        <v>66</v>
      </c>
      <c r="C5" s="69" t="s">
        <v>17</v>
      </c>
      <c r="D5" s="69" t="s">
        <v>47</v>
      </c>
      <c r="E5" s="69" t="s">
        <v>78</v>
      </c>
      <c r="F5" s="69" t="s">
        <v>35</v>
      </c>
      <c r="G5" s="70" t="s">
        <v>96</v>
      </c>
      <c r="H5" s="70" t="s">
        <v>174</v>
      </c>
      <c r="I5" s="70" t="s">
        <v>325</v>
      </c>
      <c r="J5" s="70" t="s">
        <v>326</v>
      </c>
    </row>
    <row r="6" spans="1:10" ht="15" customHeight="1" x14ac:dyDescent="0.2">
      <c r="A6" s="50">
        <v>1</v>
      </c>
      <c r="B6" s="51"/>
      <c r="C6" s="51"/>
      <c r="D6" s="51" t="s">
        <v>57</v>
      </c>
      <c r="E6" s="51"/>
      <c r="F6" s="51"/>
      <c r="G6" s="52"/>
      <c r="H6" s="54"/>
      <c r="I6" s="54"/>
      <c r="J6" s="53">
        <f>J7</f>
        <v>2446.5490559999998</v>
      </c>
    </row>
    <row r="7" spans="1:10" ht="15" customHeight="1" x14ac:dyDescent="0.2">
      <c r="A7" s="55" t="s">
        <v>2</v>
      </c>
      <c r="B7" s="56" t="s">
        <v>97</v>
      </c>
      <c r="C7" s="56" t="s">
        <v>77</v>
      </c>
      <c r="D7" s="56" t="s">
        <v>12</v>
      </c>
      <c r="E7" s="56" t="s">
        <v>77</v>
      </c>
      <c r="F7" s="57" t="s">
        <v>31</v>
      </c>
      <c r="G7" s="58">
        <v>6</v>
      </c>
      <c r="H7" s="60">
        <f>VLOOKUP(B7,'CADERNO DE COMPOSIÇÃO'!$A$7:$J$1199,10,FALSE)</f>
        <v>326.52</v>
      </c>
      <c r="I7" s="60">
        <f>H7*(1+$B$2)</f>
        <v>407.75817599999993</v>
      </c>
      <c r="J7" s="59">
        <f>I7*G7</f>
        <v>2446.5490559999998</v>
      </c>
    </row>
    <row r="8" spans="1:10" ht="15" customHeight="1" x14ac:dyDescent="0.2">
      <c r="A8" s="50">
        <v>2</v>
      </c>
      <c r="B8" s="51"/>
      <c r="C8" s="51"/>
      <c r="D8" s="51" t="s">
        <v>89</v>
      </c>
      <c r="E8" s="51"/>
      <c r="F8" s="51"/>
      <c r="G8" s="52"/>
      <c r="H8" s="54"/>
      <c r="I8" s="54"/>
      <c r="J8" s="53">
        <f>J9+J10+J11+J12</f>
        <v>32009.350245599999</v>
      </c>
    </row>
    <row r="9" spans="1:10" ht="15" customHeight="1" x14ac:dyDescent="0.2">
      <c r="A9" s="55" t="s">
        <v>136</v>
      </c>
      <c r="B9" s="56" t="s">
        <v>68</v>
      </c>
      <c r="C9" s="56" t="s">
        <v>77</v>
      </c>
      <c r="D9" s="56" t="s">
        <v>107</v>
      </c>
      <c r="E9" s="56" t="s">
        <v>77</v>
      </c>
      <c r="F9" s="57" t="s">
        <v>31</v>
      </c>
      <c r="G9" s="58">
        <v>203.35</v>
      </c>
      <c r="H9" s="60">
        <f>VLOOKUP(B9,'CADERNO DE COMPOSIÇÃO'!$A$7:$J$1199,10,FALSE)</f>
        <v>73.010000000000005</v>
      </c>
      <c r="I9" s="60">
        <f>H9*(1+$B$2)</f>
        <v>91.174887999999996</v>
      </c>
      <c r="J9" s="59">
        <f>I9*G9</f>
        <v>18540.4134748</v>
      </c>
    </row>
    <row r="10" spans="1:10" ht="15" customHeight="1" x14ac:dyDescent="0.2">
      <c r="A10" s="55" t="s">
        <v>137</v>
      </c>
      <c r="B10" s="56" t="s">
        <v>69</v>
      </c>
      <c r="C10" s="56" t="s">
        <v>77</v>
      </c>
      <c r="D10" s="56" t="s">
        <v>142</v>
      </c>
      <c r="E10" s="56" t="s">
        <v>77</v>
      </c>
      <c r="F10" s="57" t="s">
        <v>31</v>
      </c>
      <c r="G10" s="58">
        <v>203.35</v>
      </c>
      <c r="H10" s="60">
        <f>VLOOKUP(B10,'CADERNO DE COMPOSIÇÃO'!$A$7:$J$1199,10,FALSE)</f>
        <v>49.81</v>
      </c>
      <c r="I10" s="60">
        <f>H10*(1+$B$2)</f>
        <v>62.202728</v>
      </c>
      <c r="J10" s="59">
        <f>I10*G10</f>
        <v>12648.9247388</v>
      </c>
    </row>
    <row r="11" spans="1:10" ht="15" customHeight="1" x14ac:dyDescent="0.2">
      <c r="A11" s="55" t="s">
        <v>139</v>
      </c>
      <c r="B11" s="56" t="s">
        <v>40</v>
      </c>
      <c r="C11" s="56" t="s">
        <v>77</v>
      </c>
      <c r="D11" s="56" t="s">
        <v>111</v>
      </c>
      <c r="E11" s="56" t="s">
        <v>77</v>
      </c>
      <c r="F11" s="57" t="s">
        <v>10</v>
      </c>
      <c r="G11" s="58">
        <v>24</v>
      </c>
      <c r="H11" s="60">
        <f>VLOOKUP(B11,'CADERNO DE COMPOSIÇÃO'!$A$7:$J$1199,10,FALSE)</f>
        <v>18.61</v>
      </c>
      <c r="I11" s="60">
        <f>H11*(1+$B$2)</f>
        <v>23.240167999999997</v>
      </c>
      <c r="J11" s="59">
        <f>I11*G11</f>
        <v>557.76403199999993</v>
      </c>
    </row>
    <row r="12" spans="1:10" ht="15" customHeight="1" x14ac:dyDescent="0.2">
      <c r="A12" s="55" t="s">
        <v>140</v>
      </c>
      <c r="B12" s="56" t="s">
        <v>20</v>
      </c>
      <c r="C12" s="56" t="s">
        <v>77</v>
      </c>
      <c r="D12" s="56" t="s">
        <v>104</v>
      </c>
      <c r="E12" s="56" t="s">
        <v>77</v>
      </c>
      <c r="F12" s="57" t="s">
        <v>10</v>
      </c>
      <c r="G12" s="58">
        <v>24</v>
      </c>
      <c r="H12" s="60">
        <f>VLOOKUP(B12,'CADERNO DE COMPOSIÇÃO'!$A$7:$J$1199,10,FALSE)</f>
        <v>8.75</v>
      </c>
      <c r="I12" s="60">
        <f>H12*(1+$B$2)</f>
        <v>10.927</v>
      </c>
      <c r="J12" s="59">
        <f>I12*G12</f>
        <v>262.24799999999999</v>
      </c>
    </row>
    <row r="13" spans="1:10" ht="15" customHeight="1" x14ac:dyDescent="0.2">
      <c r="A13" s="50">
        <v>3</v>
      </c>
      <c r="B13" s="51"/>
      <c r="C13" s="51"/>
      <c r="D13" s="51" t="s">
        <v>1</v>
      </c>
      <c r="E13" s="51"/>
      <c r="F13" s="51"/>
      <c r="G13" s="52"/>
      <c r="H13" s="54"/>
      <c r="I13" s="54"/>
      <c r="J13" s="53">
        <f>J14+J15+J16+J17+J18+J19</f>
        <v>30061.019440479995</v>
      </c>
    </row>
    <row r="14" spans="1:10" ht="15" customHeight="1" x14ac:dyDescent="0.2">
      <c r="A14" s="55" t="s">
        <v>113</v>
      </c>
      <c r="B14" s="56" t="s">
        <v>83</v>
      </c>
      <c r="C14" s="56" t="s">
        <v>77</v>
      </c>
      <c r="D14" s="56" t="s">
        <v>33</v>
      </c>
      <c r="E14" s="56" t="s">
        <v>77</v>
      </c>
      <c r="F14" s="57" t="s">
        <v>31</v>
      </c>
      <c r="G14" s="58">
        <v>473.14</v>
      </c>
      <c r="H14" s="60">
        <f>VLOOKUP(B14,'CADERNO DE COMPOSIÇÃO'!$A$7:$J$1199,10,FALSE)</f>
        <v>6.47</v>
      </c>
      <c r="I14" s="60">
        <f t="shared" ref="I14:I19" si="0">H14*(1+$B$2)</f>
        <v>8.0797359999999987</v>
      </c>
      <c r="J14" s="59">
        <f t="shared" ref="J14:J19" si="1">I14*G14</f>
        <v>3822.8462910399994</v>
      </c>
    </row>
    <row r="15" spans="1:10" ht="15" customHeight="1" x14ac:dyDescent="0.2">
      <c r="A15" s="55" t="s">
        <v>116</v>
      </c>
      <c r="B15" s="56" t="s">
        <v>68</v>
      </c>
      <c r="C15" s="56" t="s">
        <v>77</v>
      </c>
      <c r="D15" s="56" t="s">
        <v>107</v>
      </c>
      <c r="E15" s="56" t="s">
        <v>77</v>
      </c>
      <c r="F15" s="57" t="s">
        <v>31</v>
      </c>
      <c r="G15" s="58">
        <v>141.94</v>
      </c>
      <c r="H15" s="60">
        <f>VLOOKUP(B15,'CADERNO DE COMPOSIÇÃO'!$A$7:$J$1199,10,FALSE)</f>
        <v>73.010000000000005</v>
      </c>
      <c r="I15" s="60">
        <f t="shared" si="0"/>
        <v>91.174887999999996</v>
      </c>
      <c r="J15" s="59">
        <f t="shared" si="1"/>
        <v>12941.363602719999</v>
      </c>
    </row>
    <row r="16" spans="1:10" ht="15" customHeight="1" x14ac:dyDescent="0.2">
      <c r="A16" s="55" t="s">
        <v>117</v>
      </c>
      <c r="B16" s="56" t="s">
        <v>67</v>
      </c>
      <c r="C16" s="56" t="s">
        <v>77</v>
      </c>
      <c r="D16" s="56" t="s">
        <v>130</v>
      </c>
      <c r="E16" s="56" t="s">
        <v>77</v>
      </c>
      <c r="F16" s="57" t="s">
        <v>31</v>
      </c>
      <c r="G16" s="58">
        <v>141.94</v>
      </c>
      <c r="H16" s="60">
        <f>VLOOKUP(B16,'CADERNO DE COMPOSIÇÃO'!$A$7:$J$1199,10,FALSE)</f>
        <v>59.69</v>
      </c>
      <c r="I16" s="60">
        <f t="shared" si="0"/>
        <v>74.540871999999993</v>
      </c>
      <c r="J16" s="59">
        <f t="shared" si="1"/>
        <v>10580.331371679998</v>
      </c>
    </row>
    <row r="17" spans="1:10" ht="15" customHeight="1" x14ac:dyDescent="0.2">
      <c r="A17" s="55" t="s">
        <v>117</v>
      </c>
      <c r="B17" s="56" t="s">
        <v>40</v>
      </c>
      <c r="C17" s="56" t="s">
        <v>77</v>
      </c>
      <c r="D17" s="56" t="s">
        <v>111</v>
      </c>
      <c r="E17" s="56" t="s">
        <v>77</v>
      </c>
      <c r="F17" s="57" t="s">
        <v>10</v>
      </c>
      <c r="G17" s="58">
        <v>54.5</v>
      </c>
      <c r="H17" s="60">
        <f>VLOOKUP(B17,'CADERNO DE COMPOSIÇÃO'!$A$7:$J$1199,10,FALSE)</f>
        <v>18.61</v>
      </c>
      <c r="I17" s="60">
        <f t="shared" si="0"/>
        <v>23.240167999999997</v>
      </c>
      <c r="J17" s="59">
        <f t="shared" si="1"/>
        <v>1266.5891559999998</v>
      </c>
    </row>
    <row r="18" spans="1:10" ht="15" customHeight="1" x14ac:dyDescent="0.2">
      <c r="A18" s="55" t="s">
        <v>118</v>
      </c>
      <c r="B18" s="56" t="s">
        <v>20</v>
      </c>
      <c r="C18" s="56" t="s">
        <v>77</v>
      </c>
      <c r="D18" s="56" t="s">
        <v>104</v>
      </c>
      <c r="E18" s="56" t="s">
        <v>77</v>
      </c>
      <c r="F18" s="57" t="s">
        <v>10</v>
      </c>
      <c r="G18" s="58">
        <v>54.5</v>
      </c>
      <c r="H18" s="60">
        <f>VLOOKUP(B18,'CADERNO DE COMPOSIÇÃO'!$A$7:$J$1199,10,FALSE)</f>
        <v>8.75</v>
      </c>
      <c r="I18" s="60">
        <f t="shared" si="0"/>
        <v>10.927</v>
      </c>
      <c r="J18" s="59">
        <f t="shared" si="1"/>
        <v>595.52149999999995</v>
      </c>
    </row>
    <row r="19" spans="1:10" ht="15" customHeight="1" x14ac:dyDescent="0.2">
      <c r="A19" s="55" t="s">
        <v>119</v>
      </c>
      <c r="B19" s="56" t="s">
        <v>147</v>
      </c>
      <c r="C19" s="56" t="s">
        <v>77</v>
      </c>
      <c r="D19" s="56" t="s">
        <v>82</v>
      </c>
      <c r="E19" s="56" t="s">
        <v>77</v>
      </c>
      <c r="F19" s="57" t="s">
        <v>31</v>
      </c>
      <c r="G19" s="58">
        <v>141.94</v>
      </c>
      <c r="H19" s="60">
        <f>VLOOKUP(B19,'CADERNO DE COMPOSIÇÃO'!$A$7:$J$1199,10,FALSE)</f>
        <v>4.82</v>
      </c>
      <c r="I19" s="60">
        <f t="shared" si="0"/>
        <v>6.0192160000000001</v>
      </c>
      <c r="J19" s="59">
        <f t="shared" si="1"/>
        <v>854.36751904000005</v>
      </c>
    </row>
    <row r="20" spans="1:10" ht="15" customHeight="1" x14ac:dyDescent="0.2">
      <c r="A20" s="50">
        <v>4</v>
      </c>
      <c r="B20" s="51"/>
      <c r="C20" s="51"/>
      <c r="D20" s="51" t="s">
        <v>44</v>
      </c>
      <c r="E20" s="51"/>
      <c r="F20" s="51"/>
      <c r="G20" s="52"/>
      <c r="H20" s="54"/>
      <c r="I20" s="54"/>
      <c r="J20" s="53">
        <f>J21+J22</f>
        <v>2727.5350502400006</v>
      </c>
    </row>
    <row r="21" spans="1:10" ht="15" customHeight="1" x14ac:dyDescent="0.2">
      <c r="A21" s="55" t="s">
        <v>99</v>
      </c>
      <c r="B21" s="56" t="s">
        <v>141</v>
      </c>
      <c r="C21" s="56" t="s">
        <v>77</v>
      </c>
      <c r="D21" s="56" t="s">
        <v>128</v>
      </c>
      <c r="E21" s="56" t="s">
        <v>77</v>
      </c>
      <c r="F21" s="57" t="s">
        <v>31</v>
      </c>
      <c r="G21" s="58">
        <v>32.56</v>
      </c>
      <c r="H21" s="60">
        <f>VLOOKUP(B21,'CADERNO DE COMPOSIÇÃO'!$A$7:$J$1199,10,FALSE)</f>
        <v>34.99</v>
      </c>
      <c r="I21" s="60">
        <f>H21*(1+$B$2)</f>
        <v>43.695512000000001</v>
      </c>
      <c r="J21" s="59">
        <f>I21*G21</f>
        <v>1422.7258707200001</v>
      </c>
    </row>
    <row r="22" spans="1:10" ht="15" customHeight="1" x14ac:dyDescent="0.2">
      <c r="A22" s="55" t="s">
        <v>100</v>
      </c>
      <c r="B22" s="56" t="s">
        <v>135</v>
      </c>
      <c r="C22" s="56" t="s">
        <v>77</v>
      </c>
      <c r="D22" s="56" t="s">
        <v>3</v>
      </c>
      <c r="E22" s="56" t="s">
        <v>77</v>
      </c>
      <c r="F22" s="57" t="s">
        <v>31</v>
      </c>
      <c r="G22" s="58">
        <v>32.56</v>
      </c>
      <c r="H22" s="60">
        <f>VLOOKUP(B22,'CADERNO DE COMPOSIÇÃO'!$A$7:$J$1199,10,FALSE)</f>
        <v>32.090000000000003</v>
      </c>
      <c r="I22" s="60">
        <f>H22*(1+$B$2)</f>
        <v>40.073992000000004</v>
      </c>
      <c r="J22" s="59">
        <f>I22*G22</f>
        <v>1304.8091795200003</v>
      </c>
    </row>
    <row r="23" spans="1:10" ht="15" customHeight="1" x14ac:dyDescent="0.2">
      <c r="A23" s="50">
        <v>5</v>
      </c>
      <c r="B23" s="51"/>
      <c r="C23" s="51"/>
      <c r="D23" s="51" t="s">
        <v>133</v>
      </c>
      <c r="E23" s="51"/>
      <c r="F23" s="51"/>
      <c r="G23" s="52"/>
      <c r="H23" s="54"/>
      <c r="I23" s="54"/>
      <c r="J23" s="53">
        <f>J24+J25</f>
        <v>1242.5232814399999</v>
      </c>
    </row>
    <row r="24" spans="1:10" ht="15" customHeight="1" x14ac:dyDescent="0.2">
      <c r="A24" s="55" t="s">
        <v>80</v>
      </c>
      <c r="B24" s="56" t="s">
        <v>34</v>
      </c>
      <c r="C24" s="56" t="s">
        <v>77</v>
      </c>
      <c r="D24" s="56" t="s">
        <v>134</v>
      </c>
      <c r="E24" s="56" t="s">
        <v>77</v>
      </c>
      <c r="F24" s="57" t="s">
        <v>31</v>
      </c>
      <c r="G24" s="58">
        <v>3.48</v>
      </c>
      <c r="H24" s="60">
        <f>VLOOKUP(B24,'CADERNO DE COMPOSIÇÃO'!$A$7:$J$1199,10,FALSE)</f>
        <v>13.61</v>
      </c>
      <c r="I24" s="60">
        <f>H24*(1+$B$2)</f>
        <v>16.996167999999997</v>
      </c>
      <c r="J24" s="59">
        <f>I24*G24</f>
        <v>59.14666463999999</v>
      </c>
    </row>
    <row r="25" spans="1:10" ht="15" customHeight="1" x14ac:dyDescent="0.2">
      <c r="A25" s="55" t="s">
        <v>81</v>
      </c>
      <c r="B25" s="56" t="s">
        <v>23</v>
      </c>
      <c r="C25" s="56" t="s">
        <v>77</v>
      </c>
      <c r="D25" s="56" t="s">
        <v>63</v>
      </c>
      <c r="E25" s="56" t="s">
        <v>77</v>
      </c>
      <c r="F25" s="57" t="s">
        <v>31</v>
      </c>
      <c r="G25" s="58">
        <v>203.35</v>
      </c>
      <c r="H25" s="60">
        <f>VLOOKUP(B25,'CADERNO DE COMPOSIÇÃO'!$A$7:$J$1199,10,FALSE)</f>
        <v>4.66</v>
      </c>
      <c r="I25" s="60">
        <f>H25*(1+$B$2)</f>
        <v>5.8194080000000001</v>
      </c>
      <c r="J25" s="59">
        <f>I25*G25</f>
        <v>1183.3766168</v>
      </c>
    </row>
    <row r="26" spans="1:10" ht="15" customHeight="1" x14ac:dyDescent="0.2">
      <c r="A26" s="50">
        <v>6</v>
      </c>
      <c r="B26" s="51"/>
      <c r="C26" s="51"/>
      <c r="D26" s="51" t="s">
        <v>87</v>
      </c>
      <c r="E26" s="51"/>
      <c r="F26" s="51"/>
      <c r="G26" s="52"/>
      <c r="H26" s="54"/>
      <c r="I26" s="54"/>
      <c r="J26" s="53">
        <f>J27+J28+J29</f>
        <v>24435.639744319997</v>
      </c>
    </row>
    <row r="27" spans="1:10" ht="15" customHeight="1" x14ac:dyDescent="0.2">
      <c r="A27" s="55" t="s">
        <v>58</v>
      </c>
      <c r="B27" s="56" t="s">
        <v>45</v>
      </c>
      <c r="C27" s="56" t="s">
        <v>77</v>
      </c>
      <c r="D27" s="56" t="s">
        <v>143</v>
      </c>
      <c r="E27" s="56" t="s">
        <v>77</v>
      </c>
      <c r="F27" s="57" t="s">
        <v>31</v>
      </c>
      <c r="G27" s="58">
        <v>465.52</v>
      </c>
      <c r="H27" s="60">
        <f>VLOOKUP(B27,'CADERNO DE COMPOSIÇÃO'!$A$7:$J$1199,10,FALSE)</f>
        <v>7.5100000000000007</v>
      </c>
      <c r="I27" s="60">
        <f>H27*(1+$B$2)</f>
        <v>9.3784880000000008</v>
      </c>
      <c r="J27" s="59">
        <f>I27*G27</f>
        <v>4365.8737337600005</v>
      </c>
    </row>
    <row r="28" spans="1:10" ht="15" customHeight="1" x14ac:dyDescent="0.2">
      <c r="A28" s="55" t="s">
        <v>59</v>
      </c>
      <c r="B28" s="56" t="s">
        <v>93</v>
      </c>
      <c r="C28" s="56" t="s">
        <v>77</v>
      </c>
      <c r="D28" s="56" t="s">
        <v>145</v>
      </c>
      <c r="E28" s="56" t="s">
        <v>77</v>
      </c>
      <c r="F28" s="57" t="s">
        <v>31</v>
      </c>
      <c r="G28" s="58">
        <v>465.52</v>
      </c>
      <c r="H28" s="60">
        <f>VLOOKUP(B28,'CADERNO DE COMPOSIÇÃO'!$A$7:$J$1199,10,FALSE)</f>
        <v>30.46</v>
      </c>
      <c r="I28" s="60">
        <f>H28*(1+$B$2)</f>
        <v>38.038447999999995</v>
      </c>
      <c r="J28" s="59">
        <f>I28*G28</f>
        <v>17707.658312959997</v>
      </c>
    </row>
    <row r="29" spans="1:10" ht="15" customHeight="1" x14ac:dyDescent="0.2">
      <c r="A29" s="55" t="s">
        <v>60</v>
      </c>
      <c r="B29" s="56" t="s">
        <v>105</v>
      </c>
      <c r="C29" s="56" t="s">
        <v>77</v>
      </c>
      <c r="D29" s="56" t="s">
        <v>98</v>
      </c>
      <c r="E29" s="56" t="s">
        <v>77</v>
      </c>
      <c r="F29" s="57" t="s">
        <v>31</v>
      </c>
      <c r="G29" s="58">
        <v>31.1</v>
      </c>
      <c r="H29" s="60">
        <f>VLOOKUP(B29,'CADERNO DE COMPOSIÇÃO'!$A$7:$J$1199,10,FALSE)</f>
        <v>60.819999999999993</v>
      </c>
      <c r="I29" s="60">
        <f>H29*(1+$B$2)</f>
        <v>75.952015999999986</v>
      </c>
      <c r="J29" s="59">
        <f>I29*G29</f>
        <v>2362.1076975999995</v>
      </c>
    </row>
    <row r="30" spans="1:10" ht="15" customHeight="1" x14ac:dyDescent="0.2">
      <c r="A30" s="50">
        <v>7</v>
      </c>
      <c r="B30" s="51"/>
      <c r="C30" s="51"/>
      <c r="D30" s="51" t="s">
        <v>131</v>
      </c>
      <c r="E30" s="51"/>
      <c r="F30" s="51"/>
      <c r="G30" s="52"/>
      <c r="H30" s="54"/>
      <c r="I30" s="54"/>
      <c r="J30" s="53">
        <f>J31+J32+J33+J34+J35</f>
        <v>23978.851931999998</v>
      </c>
    </row>
    <row r="31" spans="1:10" ht="15" customHeight="1" x14ac:dyDescent="0.2">
      <c r="A31" s="55" t="s">
        <v>37</v>
      </c>
      <c r="B31" s="56" t="s">
        <v>26</v>
      </c>
      <c r="C31" s="56" t="s">
        <v>77</v>
      </c>
      <c r="D31" s="56" t="s">
        <v>91</v>
      </c>
      <c r="E31" s="56" t="s">
        <v>77</v>
      </c>
      <c r="F31" s="57" t="s">
        <v>32</v>
      </c>
      <c r="G31" s="58">
        <v>28.8</v>
      </c>
      <c r="H31" s="60">
        <f>VLOOKUP(B31,'CADERNO DE COMPOSIÇÃO'!$A$7:$J$1199,10,FALSE)</f>
        <v>79.72</v>
      </c>
      <c r="I31" s="60">
        <f>H31*(1+$B$2)</f>
        <v>99.554335999999992</v>
      </c>
      <c r="J31" s="59">
        <f>I31*G31</f>
        <v>2867.1648768</v>
      </c>
    </row>
    <row r="32" spans="1:10" ht="15" customHeight="1" x14ac:dyDescent="0.2">
      <c r="A32" s="55" t="s">
        <v>38</v>
      </c>
      <c r="B32" s="56" t="s">
        <v>123</v>
      </c>
      <c r="C32" s="56" t="s">
        <v>77</v>
      </c>
      <c r="D32" s="56" t="s">
        <v>86</v>
      </c>
      <c r="E32" s="56" t="s">
        <v>77</v>
      </c>
      <c r="F32" s="57" t="s">
        <v>31</v>
      </c>
      <c r="G32" s="58">
        <v>8.35</v>
      </c>
      <c r="H32" s="60">
        <f>VLOOKUP(B32,'CADERNO DE COMPOSIÇÃO'!$A$7:$J$1199,10,FALSE)</f>
        <v>24.380000000000003</v>
      </c>
      <c r="I32" s="60">
        <f>H32*(1+$B$2)</f>
        <v>30.445744000000001</v>
      </c>
      <c r="J32" s="59">
        <f>I32*G32</f>
        <v>254.2219624</v>
      </c>
    </row>
    <row r="33" spans="1:10" ht="15" customHeight="1" x14ac:dyDescent="0.2">
      <c r="A33" s="55" t="s">
        <v>38</v>
      </c>
      <c r="B33" s="56" t="s">
        <v>124</v>
      </c>
      <c r="C33" s="56" t="s">
        <v>77</v>
      </c>
      <c r="D33" s="56" t="s">
        <v>109</v>
      </c>
      <c r="E33" s="56" t="s">
        <v>77</v>
      </c>
      <c r="F33" s="57" t="s">
        <v>31</v>
      </c>
      <c r="G33" s="58">
        <v>210.8</v>
      </c>
      <c r="H33" s="60">
        <f>VLOOKUP(B33,'CADERNO DE COMPOSIÇÃO'!$A$7:$J$1199,10,FALSE)</f>
        <v>44.25</v>
      </c>
      <c r="I33" s="60">
        <f>H33*(1+$B$2)</f>
        <v>55.259399999999999</v>
      </c>
      <c r="J33" s="59">
        <f>I33*G33</f>
        <v>11648.68152</v>
      </c>
    </row>
    <row r="34" spans="1:10" ht="15" customHeight="1" x14ac:dyDescent="0.2">
      <c r="A34" s="55" t="s">
        <v>39</v>
      </c>
      <c r="B34" s="56" t="s">
        <v>125</v>
      </c>
      <c r="C34" s="56" t="s">
        <v>77</v>
      </c>
      <c r="D34" s="56" t="s">
        <v>24</v>
      </c>
      <c r="E34" s="56" t="s">
        <v>77</v>
      </c>
      <c r="F34" s="57" t="s">
        <v>31</v>
      </c>
      <c r="G34" s="58">
        <v>202.45</v>
      </c>
      <c r="H34" s="60">
        <f>VLOOKUP(B34,'CADERNO DE COMPOSIÇÃO'!$A$7:$J$1199,10,FALSE)</f>
        <v>33.630000000000003</v>
      </c>
      <c r="I34" s="60">
        <f>H34*(1+$B$2)</f>
        <v>41.997143999999999</v>
      </c>
      <c r="J34" s="59">
        <f>I34*G34</f>
        <v>8502.3218027999992</v>
      </c>
    </row>
    <row r="35" spans="1:10" ht="15" customHeight="1" x14ac:dyDescent="0.2">
      <c r="A35" s="55" t="s">
        <v>39</v>
      </c>
      <c r="B35" s="56" t="s">
        <v>126</v>
      </c>
      <c r="C35" s="56" t="s">
        <v>77</v>
      </c>
      <c r="D35" s="56" t="s">
        <v>127</v>
      </c>
      <c r="E35" s="56" t="s">
        <v>77</v>
      </c>
      <c r="F35" s="57" t="s">
        <v>31</v>
      </c>
      <c r="G35" s="58">
        <v>8.35</v>
      </c>
      <c r="H35" s="60">
        <f>VLOOKUP(B35,'CADERNO DE COMPOSIÇÃO'!$A$7:$J$1199,10,FALSE)</f>
        <v>67.75</v>
      </c>
      <c r="I35" s="60">
        <f>H35*(1+$B$2)</f>
        <v>84.606199999999987</v>
      </c>
      <c r="J35" s="59">
        <f>I35*G35</f>
        <v>706.46176999999989</v>
      </c>
    </row>
    <row r="36" spans="1:10" ht="15" customHeight="1" x14ac:dyDescent="0.2">
      <c r="A36" s="50">
        <v>8</v>
      </c>
      <c r="B36" s="51"/>
      <c r="C36" s="51"/>
      <c r="D36" s="51" t="s">
        <v>13</v>
      </c>
      <c r="E36" s="51"/>
      <c r="F36" s="51"/>
      <c r="G36" s="52"/>
      <c r="H36" s="54"/>
      <c r="I36" s="54"/>
      <c r="J36" s="53">
        <f>J37</f>
        <v>16818.567285519999</v>
      </c>
    </row>
    <row r="37" spans="1:10" ht="15" customHeight="1" x14ac:dyDescent="0.2">
      <c r="A37" s="55" t="s">
        <v>16</v>
      </c>
      <c r="B37" s="56" t="s">
        <v>51</v>
      </c>
      <c r="C37" s="56" t="s">
        <v>77</v>
      </c>
      <c r="D37" s="56" t="s">
        <v>56</v>
      </c>
      <c r="E37" s="56" t="s">
        <v>77</v>
      </c>
      <c r="F37" s="57" t="s">
        <v>31</v>
      </c>
      <c r="G37" s="58">
        <v>465.53</v>
      </c>
      <c r="H37" s="60">
        <f>VLOOKUP(B37,'CADERNO DE COMPOSIÇÃO'!$A$7:$J$1199,10,FALSE)</f>
        <v>28.93</v>
      </c>
      <c r="I37" s="60">
        <f>H37*(1+$B$2)</f>
        <v>36.127783999999998</v>
      </c>
      <c r="J37" s="59">
        <f>I37*G37</f>
        <v>16818.567285519999</v>
      </c>
    </row>
    <row r="38" spans="1:10" ht="15" customHeight="1" x14ac:dyDescent="0.2">
      <c r="A38" s="50">
        <v>9</v>
      </c>
      <c r="B38" s="51"/>
      <c r="C38" s="51"/>
      <c r="D38" s="51" t="s">
        <v>18</v>
      </c>
      <c r="E38" s="51"/>
      <c r="F38" s="51"/>
      <c r="G38" s="52"/>
      <c r="H38" s="54"/>
      <c r="I38" s="54"/>
      <c r="J38" s="53">
        <f>J39+J40</f>
        <v>46347.943094319999</v>
      </c>
    </row>
    <row r="39" spans="1:10" ht="15" customHeight="1" x14ac:dyDescent="0.2">
      <c r="A39" s="55" t="s">
        <v>149</v>
      </c>
      <c r="B39" s="56" t="s">
        <v>51</v>
      </c>
      <c r="C39" s="56" t="s">
        <v>77</v>
      </c>
      <c r="D39" s="56" t="s">
        <v>56</v>
      </c>
      <c r="E39" s="56" t="s">
        <v>77</v>
      </c>
      <c r="F39" s="57" t="s">
        <v>31</v>
      </c>
      <c r="G39" s="58">
        <v>993.23</v>
      </c>
      <c r="H39" s="60">
        <f>VLOOKUP(B39,'CADERNO DE COMPOSIÇÃO'!$A$7:$J$1199,10,FALSE)</f>
        <v>28.93</v>
      </c>
      <c r="I39" s="60">
        <f>H39*(1+$B$2)</f>
        <v>36.127783999999998</v>
      </c>
      <c r="J39" s="59">
        <f>I39*G39</f>
        <v>35883.19890232</v>
      </c>
    </row>
    <row r="40" spans="1:10" ht="15" customHeight="1" x14ac:dyDescent="0.2">
      <c r="A40" s="55" t="s">
        <v>0</v>
      </c>
      <c r="B40" s="56" t="s">
        <v>25</v>
      </c>
      <c r="C40" s="56" t="s">
        <v>77</v>
      </c>
      <c r="D40" s="56" t="s">
        <v>120</v>
      </c>
      <c r="E40" s="56" t="s">
        <v>77</v>
      </c>
      <c r="F40" s="57" t="s">
        <v>31</v>
      </c>
      <c r="G40" s="58">
        <v>649.6</v>
      </c>
      <c r="H40" s="60">
        <f>VLOOKUP(B40,'CADERNO DE COMPOSIÇÃO'!$A$7:$J$1199,10,FALSE)</f>
        <v>12.9</v>
      </c>
      <c r="I40" s="60">
        <f>H40*(1+$B$2)</f>
        <v>16.10952</v>
      </c>
      <c r="J40" s="59">
        <f>I40*G40</f>
        <v>10464.744192</v>
      </c>
    </row>
    <row r="41" spans="1:10" ht="15" customHeight="1" x14ac:dyDescent="0.2">
      <c r="A41" s="50">
        <v>10</v>
      </c>
      <c r="B41" s="51"/>
      <c r="C41" s="51"/>
      <c r="D41" s="51" t="s">
        <v>95</v>
      </c>
      <c r="E41" s="51"/>
      <c r="F41" s="51"/>
      <c r="G41" s="52"/>
      <c r="H41" s="54"/>
      <c r="I41" s="54"/>
      <c r="J41" s="53">
        <f>J42+J43</f>
        <v>2385.5826399999996</v>
      </c>
    </row>
    <row r="42" spans="1:10" ht="15" customHeight="1" x14ac:dyDescent="0.2">
      <c r="A42" s="55" t="s">
        <v>90</v>
      </c>
      <c r="B42" s="56" t="s">
        <v>62</v>
      </c>
      <c r="C42" s="56" t="s">
        <v>77</v>
      </c>
      <c r="D42" s="56" t="s">
        <v>101</v>
      </c>
      <c r="E42" s="56" t="s">
        <v>77</v>
      </c>
      <c r="F42" s="57" t="s">
        <v>52</v>
      </c>
      <c r="G42" s="58">
        <v>10</v>
      </c>
      <c r="H42" s="60">
        <f>VLOOKUP(B42,'CADERNO DE COMPOSIÇÃO'!$A$7:$J$1199,10,FALSE)</f>
        <v>104.81</v>
      </c>
      <c r="I42" s="60">
        <f>H42*(1+$B$2)</f>
        <v>130.88672800000001</v>
      </c>
      <c r="J42" s="59">
        <f>I42*G42</f>
        <v>1308.8672799999999</v>
      </c>
    </row>
    <row r="43" spans="1:10" ht="15" customHeight="1" x14ac:dyDescent="0.2">
      <c r="A43" s="55" t="s">
        <v>92</v>
      </c>
      <c r="B43" s="56" t="s">
        <v>61</v>
      </c>
      <c r="C43" s="56" t="s">
        <v>77</v>
      </c>
      <c r="D43" s="56" t="s">
        <v>85</v>
      </c>
      <c r="E43" s="56" t="s">
        <v>77</v>
      </c>
      <c r="F43" s="57" t="s">
        <v>52</v>
      </c>
      <c r="G43" s="58">
        <v>10</v>
      </c>
      <c r="H43" s="60">
        <f>VLOOKUP(B43,'CADERNO DE COMPOSIÇÃO'!$A$7:$J$1199,10,FALSE)</f>
        <v>86.22</v>
      </c>
      <c r="I43" s="60">
        <f>H43*(1+$B$2)</f>
        <v>107.67153599999999</v>
      </c>
      <c r="J43" s="59">
        <f>I43*G43</f>
        <v>1076.7153599999999</v>
      </c>
    </row>
    <row r="44" spans="1:10" ht="15" customHeight="1" x14ac:dyDescent="0.2">
      <c r="A44" s="50">
        <v>11</v>
      </c>
      <c r="B44" s="51"/>
      <c r="C44" s="51"/>
      <c r="D44" s="51" t="s">
        <v>114</v>
      </c>
      <c r="E44" s="51"/>
      <c r="F44" s="51"/>
      <c r="G44" s="52"/>
      <c r="H44" s="54"/>
      <c r="I44" s="54"/>
      <c r="J44" s="53">
        <f>J45+J46+J47+J48+J49</f>
        <v>8951.7980159999988</v>
      </c>
    </row>
    <row r="45" spans="1:10" ht="15" customHeight="1" x14ac:dyDescent="0.2">
      <c r="A45" s="55" t="s">
        <v>71</v>
      </c>
      <c r="B45" s="56" t="s">
        <v>115</v>
      </c>
      <c r="C45" s="56" t="s">
        <v>77</v>
      </c>
      <c r="D45" s="56" t="s">
        <v>94</v>
      </c>
      <c r="E45" s="56" t="s">
        <v>77</v>
      </c>
      <c r="F45" s="57" t="s">
        <v>52</v>
      </c>
      <c r="G45" s="58">
        <v>54</v>
      </c>
      <c r="H45" s="60">
        <f>VLOOKUP(B45,'CADERNO DE COMPOSIÇÃO'!$A$7:$J$1199,10,FALSE)</f>
        <v>61.870000000000005</v>
      </c>
      <c r="I45" s="60">
        <f>H45*(1+$B$2)</f>
        <v>77.263255999999998</v>
      </c>
      <c r="J45" s="59">
        <f>I45*G45</f>
        <v>4172.2158239999999</v>
      </c>
    </row>
    <row r="46" spans="1:10" ht="15" customHeight="1" x14ac:dyDescent="0.2">
      <c r="A46" s="55" t="s">
        <v>72</v>
      </c>
      <c r="B46" s="56" t="s">
        <v>36</v>
      </c>
      <c r="C46" s="56" t="s">
        <v>77</v>
      </c>
      <c r="D46" s="56" t="s">
        <v>103</v>
      </c>
      <c r="E46" s="56" t="s">
        <v>77</v>
      </c>
      <c r="F46" s="57" t="s">
        <v>52</v>
      </c>
      <c r="G46" s="58">
        <v>18</v>
      </c>
      <c r="H46" s="60">
        <f>VLOOKUP(B46,'CADERNO DE COMPOSIÇÃO'!$A$7:$J$1199,10,FALSE)</f>
        <v>154.80000000000001</v>
      </c>
      <c r="I46" s="60">
        <f>H46*(1+$B$2)</f>
        <v>193.31424000000001</v>
      </c>
      <c r="J46" s="59">
        <f>I46*G46</f>
        <v>3479.6563200000001</v>
      </c>
    </row>
    <row r="47" spans="1:10" ht="15" customHeight="1" x14ac:dyDescent="0.2">
      <c r="A47" s="55" t="s">
        <v>73</v>
      </c>
      <c r="B47" s="56" t="s">
        <v>65</v>
      </c>
      <c r="C47" s="56" t="s">
        <v>77</v>
      </c>
      <c r="D47" s="56" t="s">
        <v>54</v>
      </c>
      <c r="E47" s="56" t="s">
        <v>77</v>
      </c>
      <c r="F47" s="57" t="s">
        <v>70</v>
      </c>
      <c r="G47" s="58">
        <v>12</v>
      </c>
      <c r="H47" s="60">
        <f>VLOOKUP(B47,'CADERNO DE COMPOSIÇÃO'!$A$7:$J$1199,10,FALSE)</f>
        <v>76.63</v>
      </c>
      <c r="I47" s="60">
        <f>H47*(1+$B$2)</f>
        <v>95.695543999999984</v>
      </c>
      <c r="J47" s="59">
        <f>I47*G47</f>
        <v>1148.3465279999998</v>
      </c>
    </row>
    <row r="48" spans="1:10" ht="15" customHeight="1" x14ac:dyDescent="0.2">
      <c r="A48" s="55" t="s">
        <v>74</v>
      </c>
      <c r="B48" s="56" t="s">
        <v>106</v>
      </c>
      <c r="C48" s="56" t="s">
        <v>77</v>
      </c>
      <c r="D48" s="56" t="s">
        <v>76</v>
      </c>
      <c r="E48" s="56" t="s">
        <v>77</v>
      </c>
      <c r="F48" s="57" t="s">
        <v>70</v>
      </c>
      <c r="G48" s="58">
        <v>3</v>
      </c>
      <c r="H48" s="60">
        <f>VLOOKUP(B48,'CADERNO DE COMPOSIÇÃO'!$A$7:$J$1199,10,FALSE)</f>
        <v>11.16</v>
      </c>
      <c r="I48" s="60">
        <f>H48*(1+$B$2)</f>
        <v>13.936608</v>
      </c>
      <c r="J48" s="59">
        <f>I48*G48</f>
        <v>41.809823999999999</v>
      </c>
    </row>
    <row r="49" spans="1:10" ht="15" customHeight="1" x14ac:dyDescent="0.2">
      <c r="A49" s="55" t="s">
        <v>75</v>
      </c>
      <c r="B49" s="56" t="s">
        <v>108</v>
      </c>
      <c r="C49" s="56" t="s">
        <v>77</v>
      </c>
      <c r="D49" s="56" t="s">
        <v>22</v>
      </c>
      <c r="E49" s="56" t="s">
        <v>77</v>
      </c>
      <c r="F49" s="57" t="s">
        <v>70</v>
      </c>
      <c r="G49" s="58">
        <v>6</v>
      </c>
      <c r="H49" s="60">
        <f>VLOOKUP(B49,'CADERNO DE COMPOSIÇÃO'!$A$7:$J$1199,10,FALSE)</f>
        <v>14.65</v>
      </c>
      <c r="I49" s="60">
        <f>H49*(1+$B$2)</f>
        <v>18.294919999999998</v>
      </c>
      <c r="J49" s="59">
        <f>I49*G49</f>
        <v>109.76951999999999</v>
      </c>
    </row>
    <row r="50" spans="1:10" ht="15" customHeight="1" x14ac:dyDescent="0.2">
      <c r="A50" s="50">
        <v>12</v>
      </c>
      <c r="B50" s="51"/>
      <c r="C50" s="51"/>
      <c r="D50" s="51" t="s">
        <v>138</v>
      </c>
      <c r="E50" s="51"/>
      <c r="F50" s="51"/>
      <c r="G50" s="52"/>
      <c r="H50" s="54"/>
      <c r="I50" s="54"/>
      <c r="J50" s="53">
        <f>J51+J52+J53</f>
        <v>1746.9762911999999</v>
      </c>
    </row>
    <row r="51" spans="1:10" ht="15" customHeight="1" x14ac:dyDescent="0.2">
      <c r="A51" s="55" t="s">
        <v>48</v>
      </c>
      <c r="B51" s="56" t="s">
        <v>129</v>
      </c>
      <c r="C51" s="56" t="s">
        <v>77</v>
      </c>
      <c r="D51" s="56" t="s">
        <v>21</v>
      </c>
      <c r="E51" s="56" t="s">
        <v>77</v>
      </c>
      <c r="F51" s="57" t="s">
        <v>70</v>
      </c>
      <c r="G51" s="58">
        <v>2</v>
      </c>
      <c r="H51" s="60">
        <f>VLOOKUP(B51,'CADERNO DE COMPOSIÇÃO'!$A$7:$J$1199,10,FALSE)</f>
        <v>462.45699999999999</v>
      </c>
      <c r="I51" s="60">
        <f>H51*(1+$B$2)</f>
        <v>577.51630159999991</v>
      </c>
      <c r="J51" s="59">
        <f>I51*G51</f>
        <v>1155.0326031999998</v>
      </c>
    </row>
    <row r="52" spans="1:10" ht="15" customHeight="1" x14ac:dyDescent="0.2">
      <c r="A52" s="55" t="s">
        <v>49</v>
      </c>
      <c r="B52" s="56" t="s">
        <v>64</v>
      </c>
      <c r="C52" s="56" t="s">
        <v>77</v>
      </c>
      <c r="D52" s="56" t="s">
        <v>7</v>
      </c>
      <c r="E52" s="56" t="s">
        <v>77</v>
      </c>
      <c r="F52" s="57" t="s">
        <v>70</v>
      </c>
      <c r="G52" s="58">
        <v>1</v>
      </c>
      <c r="H52" s="60">
        <f>VLOOKUP(B52,'CADERNO DE COMPOSIÇÃO'!$A$7:$J$1199,10,FALSE)</f>
        <v>431.91</v>
      </c>
      <c r="I52" s="60">
        <f>H52*(1+$B$2)</f>
        <v>539.36920799999996</v>
      </c>
      <c r="J52" s="59">
        <f>I52*G52</f>
        <v>539.36920799999996</v>
      </c>
    </row>
    <row r="53" spans="1:10" ht="15" customHeight="1" x14ac:dyDescent="0.2">
      <c r="A53" s="55" t="s">
        <v>50</v>
      </c>
      <c r="B53" s="56" t="s">
        <v>55</v>
      </c>
      <c r="C53" s="56" t="s">
        <v>77</v>
      </c>
      <c r="D53" s="56" t="s">
        <v>148</v>
      </c>
      <c r="E53" s="56" t="s">
        <v>77</v>
      </c>
      <c r="F53" s="57" t="s">
        <v>70</v>
      </c>
      <c r="G53" s="58">
        <v>2</v>
      </c>
      <c r="H53" s="60">
        <f>VLOOKUP(B53,'CADERNO DE COMPOSIÇÃO'!$A$7:$J$1199,10,FALSE)</f>
        <v>21.049999999999997</v>
      </c>
      <c r="I53" s="60">
        <f>H53*(1+$B$2)</f>
        <v>26.287239999999994</v>
      </c>
      <c r="J53" s="59">
        <f>I53*G53</f>
        <v>52.574479999999987</v>
      </c>
    </row>
    <row r="54" spans="1:10" ht="15" customHeight="1" x14ac:dyDescent="0.2">
      <c r="A54" s="50">
        <v>13</v>
      </c>
      <c r="B54" s="51"/>
      <c r="C54" s="51"/>
      <c r="D54" s="51" t="s">
        <v>19</v>
      </c>
      <c r="E54" s="51"/>
      <c r="F54" s="51"/>
      <c r="G54" s="52"/>
      <c r="H54" s="54"/>
      <c r="I54" s="54"/>
      <c r="J54" s="53">
        <f>J55+J56+J57+J58</f>
        <v>3846.0587356799997</v>
      </c>
    </row>
    <row r="55" spans="1:10" ht="15" customHeight="1" x14ac:dyDescent="0.2">
      <c r="A55" s="55" t="s">
        <v>27</v>
      </c>
      <c r="B55" s="56" t="s">
        <v>4</v>
      </c>
      <c r="C55" s="56" t="s">
        <v>77</v>
      </c>
      <c r="D55" s="56" t="s">
        <v>15</v>
      </c>
      <c r="E55" s="56" t="s">
        <v>77</v>
      </c>
      <c r="F55" s="57" t="s">
        <v>31</v>
      </c>
      <c r="G55" s="58">
        <v>5.04</v>
      </c>
      <c r="H55" s="60">
        <f>VLOOKUP(B55,'CADERNO DE COMPOSIÇÃO'!$A$7:$J$1199,10,FALSE)</f>
        <v>413.59000000000003</v>
      </c>
      <c r="I55" s="60">
        <f>H55*(1+$B$2)</f>
        <v>516.49119199999996</v>
      </c>
      <c r="J55" s="59">
        <f>I55*G55</f>
        <v>2603.1156076799998</v>
      </c>
    </row>
    <row r="56" spans="1:10" ht="15" customHeight="1" x14ac:dyDescent="0.2">
      <c r="A56" s="55" t="s">
        <v>28</v>
      </c>
      <c r="B56" s="56" t="s">
        <v>132</v>
      </c>
      <c r="C56" s="56" t="s">
        <v>77</v>
      </c>
      <c r="D56" s="56" t="s">
        <v>46</v>
      </c>
      <c r="E56" s="56" t="s">
        <v>77</v>
      </c>
      <c r="F56" s="57" t="s">
        <v>144</v>
      </c>
      <c r="G56" s="58">
        <v>3</v>
      </c>
      <c r="H56" s="60">
        <f>VLOOKUP(B56,'CADERNO DE COMPOSIÇÃO'!$A$7:$J$1199,10,FALSE)</f>
        <v>136.31</v>
      </c>
      <c r="I56" s="60">
        <f>H56*(1+$B$2)</f>
        <v>170.223928</v>
      </c>
      <c r="J56" s="59">
        <f>I56*G56</f>
        <v>510.671784</v>
      </c>
    </row>
    <row r="57" spans="1:10" ht="15" customHeight="1" x14ac:dyDescent="0.2">
      <c r="A57" s="55" t="s">
        <v>29</v>
      </c>
      <c r="B57" s="56" t="s">
        <v>6</v>
      </c>
      <c r="C57" s="56" t="s">
        <v>77</v>
      </c>
      <c r="D57" s="56" t="s">
        <v>122</v>
      </c>
      <c r="E57" s="56" t="s">
        <v>77</v>
      </c>
      <c r="F57" s="57" t="s">
        <v>70</v>
      </c>
      <c r="G57" s="58">
        <v>2</v>
      </c>
      <c r="H57" s="60">
        <f>VLOOKUP(B57,'CADERNO DE COMPOSIÇÃO'!$A$7:$J$1199,10,FALSE)</f>
        <v>62.01</v>
      </c>
      <c r="I57" s="60">
        <f>H57*(1+$B$2)</f>
        <v>77.438087999999993</v>
      </c>
      <c r="J57" s="59">
        <f>I57*G57</f>
        <v>154.87617599999999</v>
      </c>
    </row>
    <row r="58" spans="1:10" ht="15" customHeight="1" x14ac:dyDescent="0.2">
      <c r="A58" s="55" t="s">
        <v>30</v>
      </c>
      <c r="B58" s="56" t="s">
        <v>8</v>
      </c>
      <c r="C58" s="56" t="s">
        <v>77</v>
      </c>
      <c r="D58" s="56" t="s">
        <v>110</v>
      </c>
      <c r="E58" s="56" t="s">
        <v>77</v>
      </c>
      <c r="F58" s="57" t="s">
        <v>70</v>
      </c>
      <c r="G58" s="58">
        <v>6</v>
      </c>
      <c r="H58" s="60">
        <f>VLOOKUP(B58,'CADERNO DE COMPOSIÇÃO'!$A$7:$J$1199,10,FALSE)</f>
        <v>77.06</v>
      </c>
      <c r="I58" s="60">
        <f>H58*(1+$B$2)</f>
        <v>96.232528000000002</v>
      </c>
      <c r="J58" s="59">
        <f>I58*G58</f>
        <v>577.39516800000001</v>
      </c>
    </row>
    <row r="59" spans="1:10" ht="15" customHeight="1" x14ac:dyDescent="0.2">
      <c r="A59" s="50">
        <v>14</v>
      </c>
      <c r="B59" s="51"/>
      <c r="C59" s="51"/>
      <c r="D59" s="51" t="s">
        <v>43</v>
      </c>
      <c r="E59" s="51"/>
      <c r="F59" s="51"/>
      <c r="G59" s="52"/>
      <c r="H59" s="54"/>
      <c r="I59" s="54"/>
      <c r="J59" s="53">
        <f>J60</f>
        <v>3677.0916000000002</v>
      </c>
    </row>
    <row r="60" spans="1:10" ht="15" customHeight="1" x14ac:dyDescent="0.2">
      <c r="A60" s="55" t="s">
        <v>11</v>
      </c>
      <c r="B60" s="56" t="s">
        <v>84</v>
      </c>
      <c r="C60" s="56" t="s">
        <v>77</v>
      </c>
      <c r="D60" s="56" t="s">
        <v>41</v>
      </c>
      <c r="E60" s="56" t="s">
        <v>77</v>
      </c>
      <c r="F60" s="57" t="s">
        <v>31</v>
      </c>
      <c r="G60" s="58">
        <v>650</v>
      </c>
      <c r="H60" s="60">
        <f>VLOOKUP(B60,'CADERNO DE COMPOSIÇÃO'!$A$7:$J$1199,10,FALSE)</f>
        <v>4.53</v>
      </c>
      <c r="I60" s="60">
        <f>H60*(1+$B$2)</f>
        <v>5.6570640000000001</v>
      </c>
      <c r="J60" s="59">
        <f>I60*G60</f>
        <v>3677.0916000000002</v>
      </c>
    </row>
    <row r="61" spans="1:10" ht="15" customHeight="1" x14ac:dyDescent="0.2">
      <c r="A61" s="50">
        <v>15</v>
      </c>
      <c r="B61" s="51"/>
      <c r="C61" s="51"/>
      <c r="D61" s="51" t="s">
        <v>88</v>
      </c>
      <c r="E61" s="51"/>
      <c r="F61" s="51"/>
      <c r="G61" s="52"/>
      <c r="H61" s="54"/>
      <c r="I61" s="54"/>
      <c r="J61" s="53">
        <f>J62</f>
        <v>11968.798911999998</v>
      </c>
    </row>
    <row r="62" spans="1:10" ht="15" customHeight="1" x14ac:dyDescent="0.2">
      <c r="A62" s="63" t="s">
        <v>146</v>
      </c>
      <c r="B62" s="64" t="s">
        <v>53</v>
      </c>
      <c r="C62" s="64" t="s">
        <v>5</v>
      </c>
      <c r="D62" s="64" t="s">
        <v>112</v>
      </c>
      <c r="E62" s="64" t="s">
        <v>42</v>
      </c>
      <c r="F62" s="65" t="s">
        <v>14</v>
      </c>
      <c r="G62" s="66">
        <v>1</v>
      </c>
      <c r="H62" s="67">
        <f>VLOOKUP(B62,'CADERNO DE COMPOSIÇÃO'!$A$7:$J$1199,10,FALSE)</f>
        <v>9584.24</v>
      </c>
      <c r="I62" s="67">
        <f>H62*(1+$B$2)</f>
        <v>11968.798911999998</v>
      </c>
      <c r="J62" s="67">
        <f>I62*G62</f>
        <v>11968.798911999998</v>
      </c>
    </row>
    <row r="63" spans="1:10" ht="12" customHeight="1" x14ac:dyDescent="0.2">
      <c r="A63" s="140" t="s">
        <v>9</v>
      </c>
      <c r="B63" s="140"/>
      <c r="C63" s="140"/>
      <c r="D63" s="140"/>
      <c r="E63" s="140"/>
      <c r="F63" s="140"/>
      <c r="G63" s="140"/>
      <c r="H63" s="140"/>
      <c r="I63" s="140"/>
      <c r="J63" s="68">
        <f>J61+J59+J54+J50+J44+J41+J38+J36+J30+J26+J23+J20+J13+J8+J6</f>
        <v>212644.28532479997</v>
      </c>
    </row>
  </sheetData>
  <mergeCells count="7">
    <mergeCell ref="A63:I63"/>
    <mergeCell ref="E1:F1"/>
    <mergeCell ref="I1"/>
    <mergeCell ref="I2"/>
    <mergeCell ref="B1:D1"/>
    <mergeCell ref="B3:E3"/>
    <mergeCell ref="A4:J4"/>
  </mergeCells>
  <printOptions horizontalCentered="1"/>
  <pageMargins left="0.39370078740157483" right="0.39370078740157483" top="1.1811023622047245" bottom="1.1811023622047245" header="0.19685039370078741" footer="0.19685039370078741"/>
  <pageSetup paperSize="9" scale="73" orientation="portrait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view="pageBreakPreview" topLeftCell="C1" zoomScaleNormal="100" zoomScaleSheetLayoutView="100" workbookViewId="0">
      <selection activeCell="N15" sqref="N15"/>
    </sheetView>
  </sheetViews>
  <sheetFormatPr defaultRowHeight="15" x14ac:dyDescent="0.25"/>
  <cols>
    <col min="1" max="1" width="11.28515625" customWidth="1"/>
    <col min="2" max="2" width="12.85546875" customWidth="1"/>
    <col min="4" max="4" width="37.5703125" customWidth="1"/>
    <col min="5" max="5" width="7.140625" customWidth="1"/>
    <col min="6" max="6" width="12.28515625" customWidth="1"/>
    <col min="7" max="7" width="9.140625" hidden="1" customWidth="1"/>
    <col min="8" max="8" width="12.42578125" customWidth="1"/>
    <col min="9" max="9" width="14.5703125" customWidth="1"/>
    <col min="10" max="10" width="14.7109375" customWidth="1"/>
    <col min="11" max="11" width="15.42578125" customWidth="1"/>
    <col min="12" max="13" width="17" customWidth="1"/>
    <col min="14" max="14" width="8.5703125" customWidth="1"/>
    <col min="15" max="15" width="17.5703125" customWidth="1"/>
  </cols>
  <sheetData>
    <row r="1" spans="1:15" x14ac:dyDescent="0.25">
      <c r="A1" s="156" t="s">
        <v>150</v>
      </c>
      <c r="B1" s="157"/>
      <c r="C1" s="157"/>
      <c r="D1" s="157"/>
      <c r="E1" s="157"/>
      <c r="F1" s="157"/>
      <c r="G1" s="157"/>
      <c r="H1" s="157"/>
      <c r="I1" s="158"/>
      <c r="J1" s="2"/>
      <c r="K1" s="162" t="s">
        <v>151</v>
      </c>
      <c r="L1" s="163" t="s">
        <v>152</v>
      </c>
      <c r="M1" s="163"/>
      <c r="N1" s="163"/>
      <c r="O1" s="163"/>
    </row>
    <row r="2" spans="1:15" ht="15.75" thickBot="1" x14ac:dyDescent="0.3">
      <c r="A2" s="159"/>
      <c r="B2" s="160"/>
      <c r="C2" s="160"/>
      <c r="D2" s="160"/>
      <c r="E2" s="160"/>
      <c r="F2" s="160"/>
      <c r="G2" s="160"/>
      <c r="H2" s="160"/>
      <c r="I2" s="161"/>
      <c r="J2" s="2"/>
      <c r="K2" s="162"/>
      <c r="L2" s="163" t="s">
        <v>153</v>
      </c>
      <c r="M2" s="163" t="s">
        <v>154</v>
      </c>
      <c r="N2" s="163" t="s">
        <v>155</v>
      </c>
      <c r="O2" s="163"/>
    </row>
    <row r="3" spans="1:15" x14ac:dyDescent="0.25">
      <c r="A3" s="3" t="s">
        <v>156</v>
      </c>
      <c r="B3" s="164" t="str">
        <f>planilha!B1</f>
        <v>Reforma e Ampliação da Pedro A. Cabral</v>
      </c>
      <c r="C3" s="164"/>
      <c r="D3" s="164"/>
      <c r="E3" s="164"/>
      <c r="F3" s="164"/>
      <c r="G3" s="164"/>
      <c r="H3" s="164"/>
      <c r="I3" s="165"/>
      <c r="J3" s="2"/>
      <c r="K3" s="162"/>
      <c r="L3" s="163"/>
      <c r="M3" s="163"/>
      <c r="N3" s="4" t="s">
        <v>157</v>
      </c>
      <c r="O3" s="5" t="s">
        <v>158</v>
      </c>
    </row>
    <row r="4" spans="1:15" x14ac:dyDescent="0.25">
      <c r="A4" s="6" t="s">
        <v>159</v>
      </c>
      <c r="B4" s="7" t="str">
        <f>planilha!B3</f>
        <v>Sinapi 1/2018 e SEDOP 9/2017 - não desonerada</v>
      </c>
      <c r="C4" s="6"/>
      <c r="D4" s="6"/>
      <c r="E4" s="8"/>
      <c r="F4" s="9"/>
      <c r="G4" s="166"/>
      <c r="H4" s="166"/>
      <c r="I4" s="10"/>
      <c r="J4" s="2"/>
      <c r="K4" s="162"/>
      <c r="L4" s="11">
        <v>212929.65</v>
      </c>
      <c r="M4" s="12">
        <f>planilha!J63</f>
        <v>212644.28532479997</v>
      </c>
      <c r="N4" s="13">
        <f>(L4-M4)/L4</f>
        <v>1.3401828970273535E-3</v>
      </c>
      <c r="O4" s="14">
        <f>L4-M4</f>
        <v>285.36467520002043</v>
      </c>
    </row>
    <row r="5" spans="1:15" x14ac:dyDescent="0.25">
      <c r="A5" s="6"/>
      <c r="B5" s="15"/>
      <c r="C5" s="8"/>
      <c r="D5" s="16"/>
      <c r="E5" s="8"/>
      <c r="F5" s="17"/>
      <c r="G5" s="18"/>
      <c r="H5" s="19"/>
      <c r="I5" s="20"/>
      <c r="J5" s="2"/>
      <c r="K5" s="21">
        <v>1E-4</v>
      </c>
      <c r="L5" s="167" t="s">
        <v>160</v>
      </c>
      <c r="M5" s="168"/>
      <c r="N5" s="168"/>
      <c r="O5" s="169"/>
    </row>
    <row r="6" spans="1:15" x14ac:dyDescent="0.25">
      <c r="A6" s="22" t="s">
        <v>161</v>
      </c>
      <c r="B6" s="151" t="s">
        <v>162</v>
      </c>
      <c r="C6" s="152"/>
      <c r="D6" s="152"/>
      <c r="E6" s="152"/>
      <c r="F6" s="152"/>
      <c r="G6" s="152"/>
      <c r="H6" s="153"/>
      <c r="I6" s="23" t="s">
        <v>163</v>
      </c>
      <c r="J6" s="2"/>
      <c r="K6" s="24"/>
      <c r="L6" s="24"/>
      <c r="M6" s="25"/>
      <c r="N6" s="24"/>
      <c r="O6" s="24"/>
    </row>
    <row r="7" spans="1:15" x14ac:dyDescent="0.25">
      <c r="A7" s="26" t="str">
        <f>planilha!B7</f>
        <v>010004</v>
      </c>
      <c r="B7" s="154" t="str">
        <f>VLOOKUP(A7,planilha!$B$7:$F$696,3,FALSE)</f>
        <v>Placa da obra em chapa galvanizada</v>
      </c>
      <c r="C7" s="154"/>
      <c r="D7" s="154"/>
      <c r="E7" s="154"/>
      <c r="F7" s="154"/>
      <c r="G7" s="154"/>
      <c r="H7" s="154"/>
      <c r="I7" s="27" t="str">
        <f>VLOOKUP(A7,planilha!$B$7:$F$696,5,FALSE)</f>
        <v>m²</v>
      </c>
      <c r="J7" s="28">
        <f>I18</f>
        <v>326.52</v>
      </c>
      <c r="K7" s="24"/>
      <c r="L7" s="24"/>
      <c r="M7" s="24"/>
      <c r="N7" s="24"/>
      <c r="O7" s="24"/>
    </row>
    <row r="8" spans="1:15" x14ac:dyDescent="0.25">
      <c r="A8" s="29" t="s">
        <v>164</v>
      </c>
      <c r="B8" s="30" t="s">
        <v>165</v>
      </c>
      <c r="C8" s="31" t="s">
        <v>161</v>
      </c>
      <c r="D8" s="31" t="s">
        <v>166</v>
      </c>
      <c r="E8" s="31" t="s">
        <v>163</v>
      </c>
      <c r="F8" s="32" t="s">
        <v>167</v>
      </c>
      <c r="G8" s="33" t="s">
        <v>168</v>
      </c>
      <c r="H8" s="34" t="s">
        <v>169</v>
      </c>
      <c r="I8" s="35" t="s">
        <v>170</v>
      </c>
      <c r="J8" s="2"/>
      <c r="K8" s="24"/>
      <c r="L8" s="24"/>
      <c r="M8" s="24"/>
      <c r="N8" s="24"/>
      <c r="O8" s="24"/>
    </row>
    <row r="9" spans="1:15" ht="24" x14ac:dyDescent="0.25">
      <c r="A9" s="8" t="s">
        <v>171</v>
      </c>
      <c r="B9" s="8" t="s">
        <v>172</v>
      </c>
      <c r="C9" s="8">
        <v>88262</v>
      </c>
      <c r="D9" s="16" t="s">
        <v>175</v>
      </c>
      <c r="E9" s="8" t="s">
        <v>176</v>
      </c>
      <c r="F9" s="36">
        <v>3</v>
      </c>
      <c r="G9" s="37">
        <v>19.03</v>
      </c>
      <c r="H9" s="38">
        <f t="shared" ref="H9:H12" si="0">IF(E9="H",G9,TRUNC(G9*(1-$K$5),2))</f>
        <v>19.03</v>
      </c>
      <c r="I9" s="39">
        <f t="shared" ref="I9:I12" si="1">TRUNC(H9*F9,2)</f>
        <v>57.09</v>
      </c>
      <c r="J9" s="2"/>
      <c r="K9" s="24"/>
      <c r="L9" s="24"/>
      <c r="M9" s="24"/>
      <c r="N9" s="24"/>
      <c r="O9" s="24"/>
    </row>
    <row r="10" spans="1:15" x14ac:dyDescent="0.25">
      <c r="A10" s="8" t="s">
        <v>171</v>
      </c>
      <c r="B10" s="8" t="s">
        <v>172</v>
      </c>
      <c r="C10" s="8">
        <v>88316</v>
      </c>
      <c r="D10" s="16" t="s">
        <v>177</v>
      </c>
      <c r="E10" s="8" t="s">
        <v>176</v>
      </c>
      <c r="F10" s="36">
        <v>5</v>
      </c>
      <c r="G10" s="37">
        <v>15.12</v>
      </c>
      <c r="H10" s="38">
        <f t="shared" si="0"/>
        <v>15.12</v>
      </c>
      <c r="I10" s="39">
        <f t="shared" si="1"/>
        <v>75.599999999999994</v>
      </c>
      <c r="J10" s="2"/>
      <c r="K10" s="24"/>
      <c r="L10" s="24"/>
      <c r="M10" s="24"/>
      <c r="N10" s="24"/>
      <c r="O10" s="24"/>
    </row>
    <row r="11" spans="1:15" x14ac:dyDescent="0.25">
      <c r="A11" s="8" t="s">
        <v>171</v>
      </c>
      <c r="B11" s="8" t="s">
        <v>172</v>
      </c>
      <c r="C11" s="8">
        <v>88310</v>
      </c>
      <c r="D11" s="16" t="s">
        <v>178</v>
      </c>
      <c r="E11" s="8" t="s">
        <v>176</v>
      </c>
      <c r="F11" s="36">
        <v>6.4630000000000001</v>
      </c>
      <c r="G11" s="37">
        <v>19.059999999999999</v>
      </c>
      <c r="H11" s="38">
        <f t="shared" si="0"/>
        <v>19.059999999999999</v>
      </c>
      <c r="I11" s="39">
        <f t="shared" si="1"/>
        <v>123.18</v>
      </c>
      <c r="J11" s="2"/>
      <c r="K11" s="24"/>
      <c r="L11" s="24"/>
      <c r="M11" s="24"/>
      <c r="N11" s="24"/>
      <c r="O11" s="24"/>
    </row>
    <row r="12" spans="1:15" x14ac:dyDescent="0.25">
      <c r="A12" s="8" t="s">
        <v>77</v>
      </c>
      <c r="B12" s="8" t="s">
        <v>179</v>
      </c>
      <c r="C12" s="8" t="s">
        <v>180</v>
      </c>
      <c r="D12" s="16" t="s">
        <v>181</v>
      </c>
      <c r="E12" s="8" t="s">
        <v>182</v>
      </c>
      <c r="F12" s="36">
        <v>0.1</v>
      </c>
      <c r="G12" s="37">
        <v>7.5</v>
      </c>
      <c r="H12" s="38">
        <f t="shared" si="0"/>
        <v>7.49</v>
      </c>
      <c r="I12" s="39">
        <f t="shared" si="1"/>
        <v>0.74</v>
      </c>
      <c r="J12" s="2"/>
      <c r="K12" s="24"/>
      <c r="L12" s="24"/>
      <c r="M12" s="24"/>
      <c r="N12" s="24"/>
      <c r="O12" s="24"/>
    </row>
    <row r="13" spans="1:15" x14ac:dyDescent="0.25">
      <c r="A13" s="8" t="s">
        <v>77</v>
      </c>
      <c r="B13" s="8" t="s">
        <v>179</v>
      </c>
      <c r="C13" s="8" t="s">
        <v>183</v>
      </c>
      <c r="D13" s="16" t="s">
        <v>184</v>
      </c>
      <c r="E13" s="8" t="s">
        <v>185</v>
      </c>
      <c r="F13" s="36">
        <v>0.16</v>
      </c>
      <c r="G13" s="37">
        <v>95</v>
      </c>
      <c r="H13" s="38">
        <f t="shared" ref="H13:H17" si="2">IF(E13="H",G13,TRUNC(G13*(1-$K$5),2))</f>
        <v>94.99</v>
      </c>
      <c r="I13" s="39">
        <f t="shared" ref="I13:I17" si="3">TRUNC(H13*F13,2)</f>
        <v>15.19</v>
      </c>
      <c r="J13" s="2"/>
      <c r="K13" s="24"/>
      <c r="L13" s="24"/>
      <c r="M13" s="24"/>
      <c r="N13" s="24"/>
      <c r="O13" s="24"/>
    </row>
    <row r="14" spans="1:15" x14ac:dyDescent="0.25">
      <c r="A14" s="8" t="s">
        <v>77</v>
      </c>
      <c r="B14" s="8" t="s">
        <v>179</v>
      </c>
      <c r="C14" s="8" t="s">
        <v>186</v>
      </c>
      <c r="D14" s="16" t="s">
        <v>187</v>
      </c>
      <c r="E14" s="8" t="s">
        <v>185</v>
      </c>
      <c r="F14" s="36">
        <v>0.17</v>
      </c>
      <c r="G14" s="37">
        <v>154.5</v>
      </c>
      <c r="H14" s="38">
        <f t="shared" si="2"/>
        <v>154.47999999999999</v>
      </c>
      <c r="I14" s="39">
        <f t="shared" si="3"/>
        <v>26.26</v>
      </c>
      <c r="J14" s="2"/>
      <c r="K14" s="24"/>
      <c r="L14" s="24"/>
      <c r="M14" s="24"/>
      <c r="N14" s="24"/>
      <c r="O14" s="24"/>
    </row>
    <row r="15" spans="1:15" x14ac:dyDescent="0.25">
      <c r="A15" s="8" t="s">
        <v>77</v>
      </c>
      <c r="B15" s="8" t="s">
        <v>179</v>
      </c>
      <c r="C15" s="8" t="s">
        <v>188</v>
      </c>
      <c r="D15" s="16" t="s">
        <v>189</v>
      </c>
      <c r="E15" s="8" t="s">
        <v>190</v>
      </c>
      <c r="F15" s="36">
        <v>0.5</v>
      </c>
      <c r="G15" s="37">
        <v>40</v>
      </c>
      <c r="H15" s="38">
        <f t="shared" si="2"/>
        <v>39.99</v>
      </c>
      <c r="I15" s="39">
        <f t="shared" si="3"/>
        <v>19.989999999999998</v>
      </c>
      <c r="J15" s="2"/>
      <c r="K15" s="24"/>
      <c r="L15" s="24"/>
      <c r="M15" s="24"/>
      <c r="N15" s="24"/>
      <c r="O15" s="24"/>
    </row>
    <row r="16" spans="1:15" x14ac:dyDescent="0.25">
      <c r="A16" s="8" t="s">
        <v>77</v>
      </c>
      <c r="B16" s="8" t="s">
        <v>179</v>
      </c>
      <c r="C16" s="8" t="s">
        <v>191</v>
      </c>
      <c r="D16" s="16" t="s">
        <v>192</v>
      </c>
      <c r="E16" s="8" t="s">
        <v>193</v>
      </c>
      <c r="F16" s="36">
        <v>6.6000000000000003E-2</v>
      </c>
      <c r="G16" s="37">
        <v>96</v>
      </c>
      <c r="H16" s="38">
        <f t="shared" si="2"/>
        <v>95.99</v>
      </c>
      <c r="I16" s="39">
        <f t="shared" si="3"/>
        <v>6.33</v>
      </c>
      <c r="J16" s="2"/>
      <c r="K16" s="24"/>
      <c r="L16" s="24"/>
      <c r="M16" s="24"/>
      <c r="N16" s="24"/>
      <c r="O16" s="24"/>
    </row>
    <row r="17" spans="1:15" x14ac:dyDescent="0.25">
      <c r="A17" s="8" t="s">
        <v>77</v>
      </c>
      <c r="B17" s="8" t="s">
        <v>179</v>
      </c>
      <c r="C17" s="8" t="s">
        <v>194</v>
      </c>
      <c r="D17" s="16" t="s">
        <v>195</v>
      </c>
      <c r="E17" s="8" t="s">
        <v>193</v>
      </c>
      <c r="F17" s="36">
        <v>3.3000000000000002E-2</v>
      </c>
      <c r="G17" s="37">
        <v>65</v>
      </c>
      <c r="H17" s="38">
        <f t="shared" si="2"/>
        <v>64.989999999999995</v>
      </c>
      <c r="I17" s="39">
        <f t="shared" si="3"/>
        <v>2.14</v>
      </c>
      <c r="J17" s="2"/>
      <c r="K17" s="24"/>
      <c r="L17" s="24"/>
      <c r="M17" s="24"/>
      <c r="N17" s="24"/>
      <c r="O17" s="24"/>
    </row>
    <row r="18" spans="1:15" x14ac:dyDescent="0.25">
      <c r="A18" s="155" t="s">
        <v>173</v>
      </c>
      <c r="B18" s="155"/>
      <c r="C18" s="155"/>
      <c r="D18" s="155"/>
      <c r="E18" s="155"/>
      <c r="F18" s="155"/>
      <c r="G18" s="155"/>
      <c r="H18" s="155"/>
      <c r="I18" s="41">
        <f>SUM(I9:I17)</f>
        <v>326.52</v>
      </c>
      <c r="J18" s="2"/>
      <c r="K18" s="24"/>
      <c r="L18" s="24"/>
      <c r="M18" s="24"/>
      <c r="N18" s="24"/>
      <c r="O18" s="24"/>
    </row>
    <row r="19" spans="1:15" x14ac:dyDescent="0.25">
      <c r="A19" s="148"/>
      <c r="B19" s="149"/>
      <c r="C19" s="149"/>
      <c r="D19" s="149"/>
      <c r="E19" s="149"/>
      <c r="F19" s="149"/>
      <c r="G19" s="149"/>
      <c r="H19" s="149"/>
      <c r="I19" s="150"/>
      <c r="J19" s="2"/>
      <c r="K19" s="24"/>
      <c r="L19" s="24"/>
      <c r="M19" s="24"/>
      <c r="N19" s="24"/>
      <c r="O19" s="24"/>
    </row>
    <row r="20" spans="1:15" x14ac:dyDescent="0.25">
      <c r="A20" s="22" t="s">
        <v>161</v>
      </c>
      <c r="B20" s="151" t="s">
        <v>162</v>
      </c>
      <c r="C20" s="152"/>
      <c r="D20" s="152"/>
      <c r="E20" s="152"/>
      <c r="F20" s="152"/>
      <c r="G20" s="152"/>
      <c r="H20" s="153"/>
      <c r="I20" s="40" t="s">
        <v>163</v>
      </c>
      <c r="J20" s="2"/>
    </row>
    <row r="21" spans="1:15" ht="15" customHeight="1" x14ac:dyDescent="0.25">
      <c r="A21" s="26" t="s">
        <v>68</v>
      </c>
      <c r="B21" s="154" t="str">
        <f>VLOOKUP(A21,planilha!$B$7:$F$696,3,FALSE)</f>
        <v>Estrutura em mad. lei p/ telha de barro - pç.aparelhada</v>
      </c>
      <c r="C21" s="154"/>
      <c r="D21" s="154"/>
      <c r="E21" s="154"/>
      <c r="F21" s="154"/>
      <c r="G21" s="154"/>
      <c r="H21" s="154"/>
      <c r="I21" s="27" t="str">
        <f>VLOOKUP(A21,planilha!$B$7:$F$696,5,FALSE)</f>
        <v>m²</v>
      </c>
      <c r="J21" s="28">
        <f>I29</f>
        <v>73.010000000000005</v>
      </c>
    </row>
    <row r="22" spans="1:15" x14ac:dyDescent="0.25">
      <c r="A22" s="29" t="s">
        <v>164</v>
      </c>
      <c r="B22" s="30" t="s">
        <v>165</v>
      </c>
      <c r="C22" s="31" t="s">
        <v>161</v>
      </c>
      <c r="D22" s="31" t="s">
        <v>166</v>
      </c>
      <c r="E22" s="31" t="s">
        <v>163</v>
      </c>
      <c r="F22" s="32" t="s">
        <v>167</v>
      </c>
      <c r="G22" s="33" t="s">
        <v>168</v>
      </c>
      <c r="H22" s="34" t="s">
        <v>169</v>
      </c>
      <c r="I22" s="35" t="s">
        <v>170</v>
      </c>
      <c r="J22" s="2"/>
    </row>
    <row r="23" spans="1:15" x14ac:dyDescent="0.25">
      <c r="A23" s="8" t="s">
        <v>171</v>
      </c>
      <c r="B23" s="8" t="s">
        <v>172</v>
      </c>
      <c r="C23" s="8">
        <v>88316</v>
      </c>
      <c r="D23" s="16" t="s">
        <v>177</v>
      </c>
      <c r="E23" s="8" t="s">
        <v>176</v>
      </c>
      <c r="F23" s="36">
        <v>1.1000000000000001</v>
      </c>
      <c r="G23" s="37">
        <v>15.12</v>
      </c>
      <c r="H23" s="38">
        <f t="shared" ref="H23:H28" si="4">IF(E23="H",G23,TRUNC(G23*(1-$K$5),2))</f>
        <v>15.12</v>
      </c>
      <c r="I23" s="39">
        <f t="shared" ref="I23:I28" si="5">TRUNC(H23*F23,2)</f>
        <v>16.63</v>
      </c>
      <c r="J23" s="2"/>
    </row>
    <row r="24" spans="1:15" ht="24" x14ac:dyDescent="0.25">
      <c r="A24" s="8" t="s">
        <v>171</v>
      </c>
      <c r="B24" s="8" t="s">
        <v>172</v>
      </c>
      <c r="C24" s="8">
        <v>88262</v>
      </c>
      <c r="D24" s="16" t="s">
        <v>175</v>
      </c>
      <c r="E24" s="8" t="s">
        <v>176</v>
      </c>
      <c r="F24" s="36">
        <v>1.2589999999999999</v>
      </c>
      <c r="G24" s="37">
        <v>19.03</v>
      </c>
      <c r="H24" s="38">
        <f t="shared" si="4"/>
        <v>19.03</v>
      </c>
      <c r="I24" s="39">
        <f t="shared" si="5"/>
        <v>23.95</v>
      </c>
      <c r="J24" s="2"/>
    </row>
    <row r="25" spans="1:15" x14ac:dyDescent="0.25">
      <c r="A25" s="8" t="s">
        <v>77</v>
      </c>
      <c r="B25" s="8" t="s">
        <v>179</v>
      </c>
      <c r="C25" s="8" t="s">
        <v>196</v>
      </c>
      <c r="D25" s="16" t="s">
        <v>197</v>
      </c>
      <c r="E25" s="8" t="s">
        <v>185</v>
      </c>
      <c r="F25" s="36">
        <v>4.5999999999999999E-2</v>
      </c>
      <c r="G25" s="37">
        <v>360</v>
      </c>
      <c r="H25" s="38">
        <f t="shared" si="4"/>
        <v>359.96</v>
      </c>
      <c r="I25" s="39">
        <f t="shared" si="5"/>
        <v>16.55</v>
      </c>
      <c r="J25" s="2"/>
    </row>
    <row r="26" spans="1:15" x14ac:dyDescent="0.25">
      <c r="A26" s="8" t="s">
        <v>77</v>
      </c>
      <c r="B26" s="8" t="s">
        <v>179</v>
      </c>
      <c r="C26" s="8" t="s">
        <v>198</v>
      </c>
      <c r="D26" s="16" t="s">
        <v>199</v>
      </c>
      <c r="E26" s="8" t="s">
        <v>182</v>
      </c>
      <c r="F26" s="36">
        <v>0.19</v>
      </c>
      <c r="G26" s="37">
        <v>12</v>
      </c>
      <c r="H26" s="38">
        <f t="shared" si="4"/>
        <v>11.99</v>
      </c>
      <c r="I26" s="39">
        <f t="shared" si="5"/>
        <v>2.27</v>
      </c>
      <c r="J26" s="2"/>
    </row>
    <row r="27" spans="1:15" x14ac:dyDescent="0.25">
      <c r="A27" s="8" t="s">
        <v>77</v>
      </c>
      <c r="B27" s="8" t="s">
        <v>179</v>
      </c>
      <c r="C27" s="8" t="s">
        <v>200</v>
      </c>
      <c r="D27" s="16" t="s">
        <v>201</v>
      </c>
      <c r="E27" s="8" t="s">
        <v>185</v>
      </c>
      <c r="F27" s="36">
        <v>0.15</v>
      </c>
      <c r="G27" s="37">
        <v>77.25</v>
      </c>
      <c r="H27" s="38">
        <f t="shared" si="4"/>
        <v>77.239999999999995</v>
      </c>
      <c r="I27" s="39">
        <f t="shared" si="5"/>
        <v>11.58</v>
      </c>
      <c r="J27" s="2"/>
    </row>
    <row r="28" spans="1:15" x14ac:dyDescent="0.25">
      <c r="A28" s="8" t="s">
        <v>77</v>
      </c>
      <c r="B28" s="8" t="s">
        <v>179</v>
      </c>
      <c r="C28" s="8" t="s">
        <v>202</v>
      </c>
      <c r="D28" s="16" t="s">
        <v>203</v>
      </c>
      <c r="E28" s="8" t="s">
        <v>163</v>
      </c>
      <c r="F28" s="36">
        <v>2.1000000000000001E-2</v>
      </c>
      <c r="G28" s="37">
        <v>96.82</v>
      </c>
      <c r="H28" s="38">
        <f t="shared" si="4"/>
        <v>96.81</v>
      </c>
      <c r="I28" s="39">
        <f t="shared" si="5"/>
        <v>2.0299999999999998</v>
      </c>
      <c r="J28" s="2"/>
    </row>
    <row r="29" spans="1:15" x14ac:dyDescent="0.25">
      <c r="A29" s="155" t="s">
        <v>173</v>
      </c>
      <c r="B29" s="155"/>
      <c r="C29" s="155"/>
      <c r="D29" s="155"/>
      <c r="E29" s="155"/>
      <c r="F29" s="155"/>
      <c r="G29" s="155"/>
      <c r="H29" s="155"/>
      <c r="I29" s="41">
        <f>SUM(I23:I28)</f>
        <v>73.010000000000005</v>
      </c>
      <c r="J29" s="2"/>
    </row>
    <row r="30" spans="1:15" x14ac:dyDescent="0.25">
      <c r="A30" s="148"/>
      <c r="B30" s="149"/>
      <c r="C30" s="149"/>
      <c r="D30" s="149"/>
      <c r="E30" s="149"/>
      <c r="F30" s="149"/>
      <c r="G30" s="149"/>
      <c r="H30" s="149"/>
      <c r="I30" s="150"/>
      <c r="J30" s="2"/>
    </row>
    <row r="31" spans="1:15" x14ac:dyDescent="0.25">
      <c r="A31" s="22" t="s">
        <v>161</v>
      </c>
      <c r="B31" s="151" t="s">
        <v>162</v>
      </c>
      <c r="C31" s="152"/>
      <c r="D31" s="152"/>
      <c r="E31" s="152"/>
      <c r="F31" s="152"/>
      <c r="G31" s="152"/>
      <c r="H31" s="153"/>
      <c r="I31" s="40" t="s">
        <v>163</v>
      </c>
      <c r="J31" s="2"/>
    </row>
    <row r="32" spans="1:15" ht="15" customHeight="1" x14ac:dyDescent="0.25">
      <c r="A32" s="26" t="s">
        <v>69</v>
      </c>
      <c r="B32" s="154" t="str">
        <f>VLOOKUP(A32,planilha!$B$7:$F$696,3,FALSE)</f>
        <v>Cobertura - telha plan</v>
      </c>
      <c r="C32" s="154"/>
      <c r="D32" s="154"/>
      <c r="E32" s="154"/>
      <c r="F32" s="154"/>
      <c r="G32" s="154"/>
      <c r="H32" s="154"/>
      <c r="I32" s="27" t="str">
        <f>VLOOKUP(A32,planilha!$B$7:$F$696,5,FALSE)</f>
        <v>m²</v>
      </c>
      <c r="J32" s="28">
        <f>I37</f>
        <v>49.81</v>
      </c>
    </row>
    <row r="33" spans="1:10" x14ac:dyDescent="0.25">
      <c r="A33" s="29" t="s">
        <v>164</v>
      </c>
      <c r="B33" s="30" t="s">
        <v>165</v>
      </c>
      <c r="C33" s="31" t="s">
        <v>161</v>
      </c>
      <c r="D33" s="31" t="s">
        <v>166</v>
      </c>
      <c r="E33" s="31" t="s">
        <v>163</v>
      </c>
      <c r="F33" s="32" t="s">
        <v>167</v>
      </c>
      <c r="G33" s="33" t="s">
        <v>168</v>
      </c>
      <c r="H33" s="34" t="s">
        <v>169</v>
      </c>
      <c r="I33" s="35" t="s">
        <v>170</v>
      </c>
      <c r="J33" s="2"/>
    </row>
    <row r="34" spans="1:10" x14ac:dyDescent="0.25">
      <c r="A34" s="8" t="s">
        <v>171</v>
      </c>
      <c r="B34" s="8" t="s">
        <v>172</v>
      </c>
      <c r="C34" s="8">
        <v>88316</v>
      </c>
      <c r="D34" s="16" t="s">
        <v>177</v>
      </c>
      <c r="E34" s="8" t="s">
        <v>176</v>
      </c>
      <c r="F34" s="36">
        <v>1.0549999999999999</v>
      </c>
      <c r="G34" s="37">
        <v>15.12</v>
      </c>
      <c r="H34" s="38">
        <f t="shared" ref="H34:H36" si="6">IF(E34="H",G34,TRUNC(G34*(1-$K$5),2))</f>
        <v>15.12</v>
      </c>
      <c r="I34" s="39">
        <f t="shared" ref="I34:I36" si="7">TRUNC(H34*F34,2)</f>
        <v>15.95</v>
      </c>
      <c r="J34" s="2"/>
    </row>
    <row r="35" spans="1:10" x14ac:dyDescent="0.25">
      <c r="A35" s="8" t="s">
        <v>171</v>
      </c>
      <c r="B35" s="8" t="s">
        <v>172</v>
      </c>
      <c r="C35" s="8">
        <v>88323</v>
      </c>
      <c r="D35" s="16" t="s">
        <v>204</v>
      </c>
      <c r="E35" s="8" t="s">
        <v>176</v>
      </c>
      <c r="F35" s="36">
        <v>0.75</v>
      </c>
      <c r="G35" s="37">
        <v>17.07</v>
      </c>
      <c r="H35" s="38">
        <f t="shared" si="6"/>
        <v>17.07</v>
      </c>
      <c r="I35" s="39">
        <f t="shared" si="7"/>
        <v>12.8</v>
      </c>
      <c r="J35" s="2"/>
    </row>
    <row r="36" spans="1:10" x14ac:dyDescent="0.25">
      <c r="A36" s="8" t="s">
        <v>77</v>
      </c>
      <c r="B36" s="8" t="s">
        <v>179</v>
      </c>
      <c r="C36" s="8" t="s">
        <v>205</v>
      </c>
      <c r="D36" s="16" t="s">
        <v>206</v>
      </c>
      <c r="E36" s="8" t="s">
        <v>163</v>
      </c>
      <c r="F36" s="36">
        <v>27</v>
      </c>
      <c r="G36" s="37">
        <v>0.79</v>
      </c>
      <c r="H36" s="38">
        <f t="shared" si="6"/>
        <v>0.78</v>
      </c>
      <c r="I36" s="39">
        <f t="shared" si="7"/>
        <v>21.06</v>
      </c>
      <c r="J36" s="2"/>
    </row>
    <row r="37" spans="1:10" x14ac:dyDescent="0.25">
      <c r="A37" s="155" t="s">
        <v>173</v>
      </c>
      <c r="B37" s="155"/>
      <c r="C37" s="155"/>
      <c r="D37" s="155"/>
      <c r="E37" s="155"/>
      <c r="F37" s="155"/>
      <c r="G37" s="155"/>
      <c r="H37" s="155"/>
      <c r="I37" s="41">
        <f>SUM(I34:I36)</f>
        <v>49.81</v>
      </c>
      <c r="J37" s="2"/>
    </row>
    <row r="38" spans="1:10" x14ac:dyDescent="0.25">
      <c r="A38" s="148"/>
      <c r="B38" s="149"/>
      <c r="C38" s="149"/>
      <c r="D38" s="149"/>
      <c r="E38" s="149"/>
      <c r="F38" s="149"/>
      <c r="G38" s="149"/>
      <c r="H38" s="149"/>
      <c r="I38" s="150"/>
      <c r="J38" s="2"/>
    </row>
    <row r="39" spans="1:10" x14ac:dyDescent="0.25">
      <c r="A39" s="22" t="s">
        <v>161</v>
      </c>
      <c r="B39" s="151" t="s">
        <v>162</v>
      </c>
      <c r="C39" s="152"/>
      <c r="D39" s="152"/>
      <c r="E39" s="152"/>
      <c r="F39" s="152"/>
      <c r="G39" s="152"/>
      <c r="H39" s="153"/>
      <c r="I39" s="40" t="s">
        <v>163</v>
      </c>
      <c r="J39" s="2"/>
    </row>
    <row r="40" spans="1:10" ht="15" customHeight="1" x14ac:dyDescent="0.25">
      <c r="A40" s="26" t="s">
        <v>40</v>
      </c>
      <c r="B40" s="154" t="str">
        <f>VLOOKUP(A40,planilha!$B$7:$F$696,3,FALSE)</f>
        <v>Cumeeira de barro</v>
      </c>
      <c r="C40" s="154"/>
      <c r="D40" s="154"/>
      <c r="E40" s="154"/>
      <c r="F40" s="154"/>
      <c r="G40" s="154"/>
      <c r="H40" s="154"/>
      <c r="I40" s="27" t="str">
        <f>VLOOKUP(A40,planilha!$B$7:$F$696,5,FALSE)</f>
        <v>M</v>
      </c>
      <c r="J40" s="28">
        <f>I46</f>
        <v>18.61</v>
      </c>
    </row>
    <row r="41" spans="1:10" x14ac:dyDescent="0.25">
      <c r="A41" s="29" t="s">
        <v>164</v>
      </c>
      <c r="B41" s="30" t="s">
        <v>165</v>
      </c>
      <c r="C41" s="31" t="s">
        <v>161</v>
      </c>
      <c r="D41" s="31" t="s">
        <v>166</v>
      </c>
      <c r="E41" s="31" t="s">
        <v>163</v>
      </c>
      <c r="F41" s="32" t="s">
        <v>167</v>
      </c>
      <c r="G41" s="33" t="s">
        <v>168</v>
      </c>
      <c r="H41" s="34" t="s">
        <v>169</v>
      </c>
      <c r="I41" s="35" t="s">
        <v>170</v>
      </c>
      <c r="J41" s="2"/>
    </row>
    <row r="42" spans="1:10" x14ac:dyDescent="0.25">
      <c r="A42" s="8" t="s">
        <v>171</v>
      </c>
      <c r="B42" s="8" t="s">
        <v>172</v>
      </c>
      <c r="C42" s="8">
        <v>88316</v>
      </c>
      <c r="D42" s="16" t="s">
        <v>177</v>
      </c>
      <c r="E42" s="8" t="s">
        <v>176</v>
      </c>
      <c r="F42" s="36">
        <v>0.188</v>
      </c>
      <c r="G42" s="37">
        <v>15.12</v>
      </c>
      <c r="H42" s="38">
        <f t="shared" ref="H42:H45" si="8">IF(E42="H",G42,TRUNC(G42*(1-$K$5),2))</f>
        <v>15.12</v>
      </c>
      <c r="I42" s="39">
        <f t="shared" ref="I42:I45" si="9">TRUNC(H42*F42,2)</f>
        <v>2.84</v>
      </c>
      <c r="J42" s="2"/>
    </row>
    <row r="43" spans="1:10" x14ac:dyDescent="0.25">
      <c r="A43" s="8" t="s">
        <v>171</v>
      </c>
      <c r="B43" s="8" t="s">
        <v>172</v>
      </c>
      <c r="C43" s="8">
        <v>88323</v>
      </c>
      <c r="D43" s="16" t="s">
        <v>204</v>
      </c>
      <c r="E43" s="8" t="s">
        <v>176</v>
      </c>
      <c r="F43" s="36">
        <v>0.15</v>
      </c>
      <c r="G43" s="37">
        <v>17.07</v>
      </c>
      <c r="H43" s="38">
        <f t="shared" si="8"/>
        <v>17.07</v>
      </c>
      <c r="I43" s="39">
        <f t="shared" si="9"/>
        <v>2.56</v>
      </c>
      <c r="J43" s="2"/>
    </row>
    <row r="44" spans="1:10" x14ac:dyDescent="0.25">
      <c r="A44" s="8" t="s">
        <v>77</v>
      </c>
      <c r="B44" s="8" t="s">
        <v>172</v>
      </c>
      <c r="C44" s="8" t="s">
        <v>207</v>
      </c>
      <c r="D44" s="16" t="s">
        <v>111</v>
      </c>
      <c r="E44" s="8" t="s">
        <v>163</v>
      </c>
      <c r="F44" s="36">
        <v>3</v>
      </c>
      <c r="G44" s="37">
        <v>4.2</v>
      </c>
      <c r="H44" s="38">
        <f t="shared" si="8"/>
        <v>4.1900000000000004</v>
      </c>
      <c r="I44" s="39">
        <f t="shared" si="9"/>
        <v>12.57</v>
      </c>
      <c r="J44" s="2"/>
    </row>
    <row r="45" spans="1:10" x14ac:dyDescent="0.25">
      <c r="A45" s="8" t="s">
        <v>77</v>
      </c>
      <c r="B45" s="8" t="s">
        <v>179</v>
      </c>
      <c r="C45" s="8">
        <v>110141</v>
      </c>
      <c r="D45" s="16" t="s">
        <v>208</v>
      </c>
      <c r="E45" s="8" t="s">
        <v>209</v>
      </c>
      <c r="F45" s="36">
        <v>2E-3</v>
      </c>
      <c r="G45" s="37">
        <v>321.48</v>
      </c>
      <c r="H45" s="38">
        <f t="shared" si="8"/>
        <v>321.44</v>
      </c>
      <c r="I45" s="39">
        <f t="shared" si="9"/>
        <v>0.64</v>
      </c>
      <c r="J45" s="2"/>
    </row>
    <row r="46" spans="1:10" x14ac:dyDescent="0.25">
      <c r="A46" s="155" t="s">
        <v>173</v>
      </c>
      <c r="B46" s="155"/>
      <c r="C46" s="155"/>
      <c r="D46" s="155"/>
      <c r="E46" s="155"/>
      <c r="F46" s="155"/>
      <c r="G46" s="155"/>
      <c r="H46" s="155"/>
      <c r="I46" s="41">
        <f>SUM(I42:I45)</f>
        <v>18.61</v>
      </c>
      <c r="J46" s="2"/>
    </row>
    <row r="47" spans="1:10" x14ac:dyDescent="0.25">
      <c r="A47" s="148"/>
      <c r="B47" s="149"/>
      <c r="C47" s="149"/>
      <c r="D47" s="149"/>
      <c r="E47" s="149"/>
      <c r="F47" s="149"/>
      <c r="G47" s="149"/>
      <c r="H47" s="149"/>
      <c r="I47" s="150"/>
      <c r="J47" s="2"/>
    </row>
    <row r="48" spans="1:10" x14ac:dyDescent="0.25">
      <c r="A48" s="22" t="s">
        <v>161</v>
      </c>
      <c r="B48" s="151" t="s">
        <v>162</v>
      </c>
      <c r="C48" s="152"/>
      <c r="D48" s="152"/>
      <c r="E48" s="152"/>
      <c r="F48" s="152"/>
      <c r="G48" s="152"/>
      <c r="H48" s="153"/>
      <c r="I48" s="40" t="s">
        <v>163</v>
      </c>
      <c r="J48" s="2"/>
    </row>
    <row r="49" spans="1:10" ht="15" customHeight="1" x14ac:dyDescent="0.25">
      <c r="A49" s="26" t="s">
        <v>20</v>
      </c>
      <c r="B49" s="154" t="str">
        <f>VLOOKUP(A49,planilha!$B$7:$F$696,3,FALSE)</f>
        <v>Encaliçamento de telha ceramica (beiral e cumieira)</v>
      </c>
      <c r="C49" s="154"/>
      <c r="D49" s="154"/>
      <c r="E49" s="154"/>
      <c r="F49" s="154"/>
      <c r="G49" s="154"/>
      <c r="H49" s="154"/>
      <c r="I49" s="27" t="str">
        <f>VLOOKUP(A49,planilha!$B$7:$F$696,5,FALSE)</f>
        <v>M</v>
      </c>
      <c r="J49" s="28">
        <f>I54</f>
        <v>8.75</v>
      </c>
    </row>
    <row r="50" spans="1:10" x14ac:dyDescent="0.25">
      <c r="A50" s="29" t="s">
        <v>164</v>
      </c>
      <c r="B50" s="30" t="s">
        <v>165</v>
      </c>
      <c r="C50" s="31" t="s">
        <v>161</v>
      </c>
      <c r="D50" s="31" t="s">
        <v>166</v>
      </c>
      <c r="E50" s="31" t="s">
        <v>163</v>
      </c>
      <c r="F50" s="32" t="s">
        <v>167</v>
      </c>
      <c r="G50" s="33" t="s">
        <v>168</v>
      </c>
      <c r="H50" s="34" t="s">
        <v>169</v>
      </c>
      <c r="I50" s="35" t="s">
        <v>170</v>
      </c>
      <c r="J50" s="2"/>
    </row>
    <row r="51" spans="1:10" x14ac:dyDescent="0.25">
      <c r="A51" s="8" t="s">
        <v>171</v>
      </c>
      <c r="B51" s="8" t="s">
        <v>172</v>
      </c>
      <c r="C51" s="8">
        <v>88316</v>
      </c>
      <c r="D51" s="16" t="s">
        <v>177</v>
      </c>
      <c r="E51" s="8" t="s">
        <v>176</v>
      </c>
      <c r="F51" s="36">
        <v>0.25</v>
      </c>
      <c r="G51" s="37">
        <v>15.12</v>
      </c>
      <c r="H51" s="38">
        <f t="shared" ref="H51:H53" si="10">IF(E51="H",G51,TRUNC(G51*(1-$K$5),2))</f>
        <v>15.12</v>
      </c>
      <c r="I51" s="39">
        <f t="shared" ref="I51:I53" si="11">TRUNC(H51*F51,2)</f>
        <v>3.78</v>
      </c>
      <c r="J51" s="2"/>
    </row>
    <row r="52" spans="1:10" x14ac:dyDescent="0.25">
      <c r="A52" s="8" t="s">
        <v>171</v>
      </c>
      <c r="B52" s="8" t="s">
        <v>172</v>
      </c>
      <c r="C52" s="8">
        <v>88323</v>
      </c>
      <c r="D52" s="16" t="s">
        <v>204</v>
      </c>
      <c r="E52" s="8" t="s">
        <v>176</v>
      </c>
      <c r="F52" s="36">
        <v>0.254</v>
      </c>
      <c r="G52" s="37">
        <v>17.07</v>
      </c>
      <c r="H52" s="38">
        <f t="shared" si="10"/>
        <v>17.07</v>
      </c>
      <c r="I52" s="39">
        <f t="shared" si="11"/>
        <v>4.33</v>
      </c>
      <c r="J52" s="2"/>
    </row>
    <row r="53" spans="1:10" x14ac:dyDescent="0.25">
      <c r="A53" s="8" t="s">
        <v>77</v>
      </c>
      <c r="B53" s="8" t="s">
        <v>179</v>
      </c>
      <c r="C53" s="8">
        <v>110141</v>
      </c>
      <c r="D53" s="16" t="s">
        <v>208</v>
      </c>
      <c r="E53" s="8" t="s">
        <v>209</v>
      </c>
      <c r="F53" s="36">
        <v>2E-3</v>
      </c>
      <c r="G53" s="37">
        <v>321.48</v>
      </c>
      <c r="H53" s="38">
        <f t="shared" si="10"/>
        <v>321.44</v>
      </c>
      <c r="I53" s="39">
        <f t="shared" si="11"/>
        <v>0.64</v>
      </c>
      <c r="J53" s="2"/>
    </row>
    <row r="54" spans="1:10" x14ac:dyDescent="0.25">
      <c r="A54" s="155" t="s">
        <v>173</v>
      </c>
      <c r="B54" s="155"/>
      <c r="C54" s="155"/>
      <c r="D54" s="155"/>
      <c r="E54" s="155"/>
      <c r="F54" s="155"/>
      <c r="G54" s="155"/>
      <c r="H54" s="155"/>
      <c r="I54" s="41">
        <f>SUM(I51:I53)</f>
        <v>8.75</v>
      </c>
      <c r="J54" s="2"/>
    </row>
    <row r="55" spans="1:10" x14ac:dyDescent="0.25">
      <c r="A55" s="148"/>
      <c r="B55" s="149"/>
      <c r="C55" s="149"/>
      <c r="D55" s="149"/>
      <c r="E55" s="149"/>
      <c r="F55" s="149"/>
      <c r="G55" s="149"/>
      <c r="H55" s="149"/>
      <c r="I55" s="150"/>
      <c r="J55" s="2"/>
    </row>
    <row r="56" spans="1:10" x14ac:dyDescent="0.25">
      <c r="A56" s="22" t="s">
        <v>161</v>
      </c>
      <c r="B56" s="151" t="s">
        <v>162</v>
      </c>
      <c r="C56" s="152"/>
      <c r="D56" s="152"/>
      <c r="E56" s="152"/>
      <c r="F56" s="152"/>
      <c r="G56" s="152"/>
      <c r="H56" s="153"/>
      <c r="I56" s="40" t="s">
        <v>163</v>
      </c>
      <c r="J56" s="2"/>
    </row>
    <row r="57" spans="1:10" ht="15" customHeight="1" x14ac:dyDescent="0.25">
      <c r="A57" s="26" t="s">
        <v>83</v>
      </c>
      <c r="B57" s="154" t="str">
        <f>VLOOKUP(A57,planilha!$B$7:$F$696,3,FALSE)</f>
        <v>Retirada de telhas de barro</v>
      </c>
      <c r="C57" s="154"/>
      <c r="D57" s="154"/>
      <c r="E57" s="154"/>
      <c r="F57" s="154"/>
      <c r="G57" s="154"/>
      <c r="H57" s="154"/>
      <c r="I57" s="27" t="str">
        <f>VLOOKUP(A57,planilha!$B$7:$F$696,5,FALSE)</f>
        <v>m²</v>
      </c>
      <c r="J57" s="28">
        <f>I61</f>
        <v>6.47</v>
      </c>
    </row>
    <row r="58" spans="1:10" x14ac:dyDescent="0.25">
      <c r="A58" s="29" t="s">
        <v>164</v>
      </c>
      <c r="B58" s="30" t="s">
        <v>165</v>
      </c>
      <c r="C58" s="31" t="s">
        <v>161</v>
      </c>
      <c r="D58" s="31" t="s">
        <v>166</v>
      </c>
      <c r="E58" s="31" t="s">
        <v>163</v>
      </c>
      <c r="F58" s="32" t="s">
        <v>167</v>
      </c>
      <c r="G58" s="33" t="s">
        <v>168</v>
      </c>
      <c r="H58" s="34" t="s">
        <v>169</v>
      </c>
      <c r="I58" s="35" t="s">
        <v>170</v>
      </c>
      <c r="J58" s="2"/>
    </row>
    <row r="59" spans="1:10" x14ac:dyDescent="0.25">
      <c r="A59" s="8" t="s">
        <v>171</v>
      </c>
      <c r="B59" s="8" t="s">
        <v>172</v>
      </c>
      <c r="C59" s="8">
        <v>88316</v>
      </c>
      <c r="D59" s="16" t="s">
        <v>177</v>
      </c>
      <c r="E59" s="8" t="s">
        <v>176</v>
      </c>
      <c r="F59" s="36">
        <v>0.36509999999999998</v>
      </c>
      <c r="G59" s="37">
        <v>15.12</v>
      </c>
      <c r="H59" s="38">
        <f t="shared" ref="H59:H60" si="12">IF(E59="H",G59,TRUNC(G59*(1-$K$5),2))</f>
        <v>15.12</v>
      </c>
      <c r="I59" s="39">
        <f t="shared" ref="I59:I60" si="13">TRUNC(H59*F59,2)</f>
        <v>5.52</v>
      </c>
      <c r="J59" s="2"/>
    </row>
    <row r="60" spans="1:10" ht="24" x14ac:dyDescent="0.25">
      <c r="A60" s="8" t="s">
        <v>171</v>
      </c>
      <c r="B60" s="8" t="s">
        <v>172</v>
      </c>
      <c r="C60" s="8">
        <v>88262</v>
      </c>
      <c r="D60" s="16" t="s">
        <v>175</v>
      </c>
      <c r="E60" s="8" t="s">
        <v>176</v>
      </c>
      <c r="F60" s="36">
        <v>0.05</v>
      </c>
      <c r="G60" s="37">
        <v>19.03</v>
      </c>
      <c r="H60" s="38">
        <f t="shared" si="12"/>
        <v>19.03</v>
      </c>
      <c r="I60" s="39">
        <f t="shared" si="13"/>
        <v>0.95</v>
      </c>
      <c r="J60" s="2"/>
    </row>
    <row r="61" spans="1:10" x14ac:dyDescent="0.25">
      <c r="A61" s="155" t="s">
        <v>173</v>
      </c>
      <c r="B61" s="155"/>
      <c r="C61" s="155"/>
      <c r="D61" s="155"/>
      <c r="E61" s="155"/>
      <c r="F61" s="155"/>
      <c r="G61" s="155"/>
      <c r="H61" s="155"/>
      <c r="I61" s="41">
        <f>SUM(I59:I60)</f>
        <v>6.47</v>
      </c>
      <c r="J61" s="2"/>
    </row>
    <row r="62" spans="1:10" x14ac:dyDescent="0.25">
      <c r="A62" s="148"/>
      <c r="B62" s="149"/>
      <c r="C62" s="149"/>
      <c r="D62" s="149"/>
      <c r="E62" s="149"/>
      <c r="F62" s="149"/>
      <c r="G62" s="149"/>
      <c r="H62" s="149"/>
      <c r="I62" s="150"/>
      <c r="J62" s="2"/>
    </row>
    <row r="63" spans="1:10" x14ac:dyDescent="0.25">
      <c r="A63" s="22" t="s">
        <v>161</v>
      </c>
      <c r="B63" s="151" t="s">
        <v>162</v>
      </c>
      <c r="C63" s="152"/>
      <c r="D63" s="152"/>
      <c r="E63" s="152"/>
      <c r="F63" s="152"/>
      <c r="G63" s="152"/>
      <c r="H63" s="153"/>
      <c r="I63" s="40" t="s">
        <v>163</v>
      </c>
      <c r="J63" s="2"/>
    </row>
    <row r="64" spans="1:10" ht="15" customHeight="1" x14ac:dyDescent="0.25">
      <c r="A64" s="26" t="s">
        <v>67</v>
      </c>
      <c r="B64" s="154" t="str">
        <f>VLOOKUP(A64,planilha!$B$7:$F$696,3,FALSE)</f>
        <v>Cobertura - telha de barro paulista ou planatex</v>
      </c>
      <c r="C64" s="154"/>
      <c r="D64" s="154"/>
      <c r="E64" s="154"/>
      <c r="F64" s="154"/>
      <c r="G64" s="154"/>
      <c r="H64" s="154"/>
      <c r="I64" s="27" t="str">
        <f>VLOOKUP(A64,planilha!$B$7:$F$696,5,FALSE)</f>
        <v>m²</v>
      </c>
      <c r="J64" s="28">
        <f>I69</f>
        <v>59.69</v>
      </c>
    </row>
    <row r="65" spans="1:10" x14ac:dyDescent="0.25">
      <c r="A65" s="29" t="s">
        <v>164</v>
      </c>
      <c r="B65" s="30" t="s">
        <v>165</v>
      </c>
      <c r="C65" s="31" t="s">
        <v>161</v>
      </c>
      <c r="D65" s="31" t="s">
        <v>166</v>
      </c>
      <c r="E65" s="31" t="s">
        <v>163</v>
      </c>
      <c r="F65" s="32" t="s">
        <v>167</v>
      </c>
      <c r="G65" s="33" t="s">
        <v>168</v>
      </c>
      <c r="H65" s="34" t="s">
        <v>169</v>
      </c>
      <c r="I65" s="35" t="s">
        <v>170</v>
      </c>
      <c r="J65" s="2"/>
    </row>
    <row r="66" spans="1:10" x14ac:dyDescent="0.25">
      <c r="A66" s="8" t="s">
        <v>171</v>
      </c>
      <c r="B66" s="8" t="s">
        <v>172</v>
      </c>
      <c r="C66" s="8">
        <v>88316</v>
      </c>
      <c r="D66" s="16" t="s">
        <v>177</v>
      </c>
      <c r="E66" s="8" t="s">
        <v>176</v>
      </c>
      <c r="F66" s="36">
        <v>1.0549999999999999</v>
      </c>
      <c r="G66" s="37">
        <v>15.12</v>
      </c>
      <c r="H66" s="38">
        <f t="shared" ref="H66:H68" si="14">IF(E66="H",G66,TRUNC(G66*(1-$K$5),2))</f>
        <v>15.12</v>
      </c>
      <c r="I66" s="39">
        <f t="shared" ref="I66:I68" si="15">TRUNC(H66*F66,2)</f>
        <v>15.95</v>
      </c>
      <c r="J66" s="2"/>
    </row>
    <row r="67" spans="1:10" x14ac:dyDescent="0.25">
      <c r="A67" s="8" t="s">
        <v>171</v>
      </c>
      <c r="B67" s="8" t="s">
        <v>172</v>
      </c>
      <c r="C67" s="8">
        <v>88323</v>
      </c>
      <c r="D67" s="16" t="s">
        <v>204</v>
      </c>
      <c r="E67" s="8" t="s">
        <v>176</v>
      </c>
      <c r="F67" s="36">
        <v>0.75</v>
      </c>
      <c r="G67" s="37">
        <v>17.07</v>
      </c>
      <c r="H67" s="38">
        <f t="shared" si="14"/>
        <v>17.07</v>
      </c>
      <c r="I67" s="39">
        <f t="shared" si="15"/>
        <v>12.8</v>
      </c>
      <c r="J67" s="2"/>
    </row>
    <row r="68" spans="1:10" x14ac:dyDescent="0.25">
      <c r="A68" s="8" t="s">
        <v>77</v>
      </c>
      <c r="B68" s="8" t="s">
        <v>179</v>
      </c>
      <c r="C68" s="8" t="s">
        <v>210</v>
      </c>
      <c r="D68" s="16" t="s">
        <v>211</v>
      </c>
      <c r="E68" s="8" t="s">
        <v>163</v>
      </c>
      <c r="F68" s="36">
        <v>26</v>
      </c>
      <c r="G68" s="37">
        <v>1.2</v>
      </c>
      <c r="H68" s="38">
        <f t="shared" si="14"/>
        <v>1.19</v>
      </c>
      <c r="I68" s="39">
        <f t="shared" si="15"/>
        <v>30.94</v>
      </c>
      <c r="J68" s="2"/>
    </row>
    <row r="69" spans="1:10" x14ac:dyDescent="0.25">
      <c r="A69" s="155" t="s">
        <v>173</v>
      </c>
      <c r="B69" s="155"/>
      <c r="C69" s="155"/>
      <c r="D69" s="155"/>
      <c r="E69" s="155"/>
      <c r="F69" s="155"/>
      <c r="G69" s="155"/>
      <c r="H69" s="155"/>
      <c r="I69" s="41">
        <f>SUM(I66:I68)</f>
        <v>59.69</v>
      </c>
      <c r="J69" s="2"/>
    </row>
    <row r="70" spans="1:10" x14ac:dyDescent="0.25">
      <c r="A70" s="148"/>
      <c r="B70" s="149"/>
      <c r="C70" s="149"/>
      <c r="D70" s="149"/>
      <c r="E70" s="149"/>
      <c r="F70" s="149"/>
      <c r="G70" s="149"/>
      <c r="H70" s="149"/>
      <c r="I70" s="150"/>
      <c r="J70" s="2"/>
    </row>
    <row r="71" spans="1:10" x14ac:dyDescent="0.25">
      <c r="A71" s="22" t="s">
        <v>161</v>
      </c>
      <c r="B71" s="151" t="s">
        <v>162</v>
      </c>
      <c r="C71" s="152"/>
      <c r="D71" s="152"/>
      <c r="E71" s="152"/>
      <c r="F71" s="152"/>
      <c r="G71" s="152"/>
      <c r="H71" s="153"/>
      <c r="I71" s="40" t="s">
        <v>163</v>
      </c>
      <c r="J71" s="2"/>
    </row>
    <row r="72" spans="1:10" ht="15" customHeight="1" x14ac:dyDescent="0.25">
      <c r="A72" s="26" t="s">
        <v>147</v>
      </c>
      <c r="B72" s="154" t="str">
        <f>VLOOKUP(A72,planilha!$B$7:$F$696,3,FALSE)</f>
        <v>Demolição da estrutura em madeira da cobertura</v>
      </c>
      <c r="C72" s="154"/>
      <c r="D72" s="154"/>
      <c r="E72" s="154"/>
      <c r="F72" s="154"/>
      <c r="G72" s="154"/>
      <c r="H72" s="154"/>
      <c r="I72" s="27" t="str">
        <f>VLOOKUP(A72,planilha!$B$7:$F$696,5,FALSE)</f>
        <v>m²</v>
      </c>
      <c r="J72" s="28">
        <f>I76</f>
        <v>4.82</v>
      </c>
    </row>
    <row r="73" spans="1:10" x14ac:dyDescent="0.25">
      <c r="A73" s="29" t="s">
        <v>164</v>
      </c>
      <c r="B73" s="30" t="s">
        <v>165</v>
      </c>
      <c r="C73" s="31" t="s">
        <v>161</v>
      </c>
      <c r="D73" s="31" t="s">
        <v>166</v>
      </c>
      <c r="E73" s="31" t="s">
        <v>163</v>
      </c>
      <c r="F73" s="32" t="s">
        <v>167</v>
      </c>
      <c r="G73" s="33" t="s">
        <v>168</v>
      </c>
      <c r="H73" s="34" t="s">
        <v>169</v>
      </c>
      <c r="I73" s="35" t="s">
        <v>170</v>
      </c>
      <c r="J73" s="2"/>
    </row>
    <row r="74" spans="1:10" x14ac:dyDescent="0.25">
      <c r="A74" s="8" t="s">
        <v>171</v>
      </c>
      <c r="B74" s="8" t="s">
        <v>172</v>
      </c>
      <c r="C74" s="8">
        <v>88316</v>
      </c>
      <c r="D74" s="16" t="s">
        <v>177</v>
      </c>
      <c r="E74" s="8" t="s">
        <v>176</v>
      </c>
      <c r="F74" s="36">
        <v>0.15</v>
      </c>
      <c r="G74" s="37">
        <v>15.12</v>
      </c>
      <c r="H74" s="38">
        <f t="shared" ref="H74:H75" si="16">IF(E74="H",G74,TRUNC(G74*(1-$K$5),2))</f>
        <v>15.12</v>
      </c>
      <c r="I74" s="39">
        <f t="shared" ref="I74:I75" si="17">TRUNC(H74*F74,2)</f>
        <v>2.2599999999999998</v>
      </c>
      <c r="J74" s="2"/>
    </row>
    <row r="75" spans="1:10" ht="24" x14ac:dyDescent="0.25">
      <c r="A75" s="8" t="s">
        <v>171</v>
      </c>
      <c r="B75" s="8" t="s">
        <v>172</v>
      </c>
      <c r="C75" s="8">
        <v>88262</v>
      </c>
      <c r="D75" s="16" t="s">
        <v>175</v>
      </c>
      <c r="E75" s="8" t="s">
        <v>176</v>
      </c>
      <c r="F75" s="36">
        <v>0.13500000000000001</v>
      </c>
      <c r="G75" s="37">
        <v>19.03</v>
      </c>
      <c r="H75" s="38">
        <f t="shared" si="16"/>
        <v>19.03</v>
      </c>
      <c r="I75" s="39">
        <f t="shared" si="17"/>
        <v>2.56</v>
      </c>
      <c r="J75" s="2"/>
    </row>
    <row r="76" spans="1:10" x14ac:dyDescent="0.25">
      <c r="A76" s="155" t="s">
        <v>173</v>
      </c>
      <c r="B76" s="155"/>
      <c r="C76" s="155"/>
      <c r="D76" s="155"/>
      <c r="E76" s="155"/>
      <c r="F76" s="155"/>
      <c r="G76" s="155"/>
      <c r="H76" s="155"/>
      <c r="I76" s="41">
        <f>SUM(I74:I75)</f>
        <v>4.82</v>
      </c>
      <c r="J76" s="2"/>
    </row>
    <row r="77" spans="1:10" x14ac:dyDescent="0.25">
      <c r="A77" s="148"/>
      <c r="B77" s="149"/>
      <c r="C77" s="149"/>
      <c r="D77" s="149"/>
      <c r="E77" s="149"/>
      <c r="F77" s="149"/>
      <c r="G77" s="149"/>
      <c r="H77" s="149"/>
      <c r="I77" s="150"/>
      <c r="J77" s="2"/>
    </row>
    <row r="78" spans="1:10" x14ac:dyDescent="0.25">
      <c r="A78" s="22" t="s">
        <v>161</v>
      </c>
      <c r="B78" s="151" t="s">
        <v>162</v>
      </c>
      <c r="C78" s="152"/>
      <c r="D78" s="152"/>
      <c r="E78" s="152"/>
      <c r="F78" s="152"/>
      <c r="G78" s="152"/>
      <c r="H78" s="153"/>
      <c r="I78" s="40" t="s">
        <v>163</v>
      </c>
      <c r="J78" s="2"/>
    </row>
    <row r="79" spans="1:10" ht="15" customHeight="1" x14ac:dyDescent="0.25">
      <c r="A79" s="26" t="s">
        <v>141</v>
      </c>
      <c r="B79" s="154" t="str">
        <f>VLOOKUP(A79,planilha!$B$7:$F$696,3,FALSE)</f>
        <v>Barroteamento em madeira de lei p/ forro PVC</v>
      </c>
      <c r="C79" s="154"/>
      <c r="D79" s="154"/>
      <c r="E79" s="154"/>
      <c r="F79" s="154"/>
      <c r="G79" s="154"/>
      <c r="H79" s="154"/>
      <c r="I79" s="27" t="str">
        <f>VLOOKUP(A79,planilha!$B$7:$F$696,5,FALSE)</f>
        <v>m²</v>
      </c>
      <c r="J79" s="28">
        <f>I85</f>
        <v>34.99</v>
      </c>
    </row>
    <row r="80" spans="1:10" x14ac:dyDescent="0.25">
      <c r="A80" s="29" t="s">
        <v>164</v>
      </c>
      <c r="B80" s="30" t="s">
        <v>165</v>
      </c>
      <c r="C80" s="31" t="s">
        <v>161</v>
      </c>
      <c r="D80" s="31" t="s">
        <v>166</v>
      </c>
      <c r="E80" s="31" t="s">
        <v>163</v>
      </c>
      <c r="F80" s="32" t="s">
        <v>167</v>
      </c>
      <c r="G80" s="33" t="s">
        <v>168</v>
      </c>
      <c r="H80" s="34" t="s">
        <v>169</v>
      </c>
      <c r="I80" s="35" t="s">
        <v>170</v>
      </c>
      <c r="J80" s="2"/>
    </row>
    <row r="81" spans="1:10" x14ac:dyDescent="0.25">
      <c r="A81" s="8" t="s">
        <v>171</v>
      </c>
      <c r="B81" s="8" t="s">
        <v>172</v>
      </c>
      <c r="C81" s="8">
        <v>88316</v>
      </c>
      <c r="D81" s="16" t="s">
        <v>177</v>
      </c>
      <c r="E81" s="8" t="s">
        <v>176</v>
      </c>
      <c r="F81" s="36">
        <v>0.73</v>
      </c>
      <c r="G81" s="37">
        <v>15.12</v>
      </c>
      <c r="H81" s="38">
        <f t="shared" ref="H81:H84" si="18">IF(E81="H",G81,TRUNC(G81*(1-$K$5),2))</f>
        <v>15.12</v>
      </c>
      <c r="I81" s="39">
        <f t="shared" ref="I81:I84" si="19">TRUNC(H81*F81,2)</f>
        <v>11.03</v>
      </c>
      <c r="J81" s="2"/>
    </row>
    <row r="82" spans="1:10" ht="24" x14ac:dyDescent="0.25">
      <c r="A82" s="8" t="s">
        <v>171</v>
      </c>
      <c r="B82" s="8" t="s">
        <v>172</v>
      </c>
      <c r="C82" s="8">
        <v>88262</v>
      </c>
      <c r="D82" s="16" t="s">
        <v>175</v>
      </c>
      <c r="E82" s="8" t="s">
        <v>176</v>
      </c>
      <c r="F82" s="36">
        <v>0.7</v>
      </c>
      <c r="G82" s="37">
        <v>19.03</v>
      </c>
      <c r="H82" s="38">
        <f t="shared" si="18"/>
        <v>19.03</v>
      </c>
      <c r="I82" s="39">
        <f t="shared" si="19"/>
        <v>13.32</v>
      </c>
      <c r="J82" s="2"/>
    </row>
    <row r="83" spans="1:10" x14ac:dyDescent="0.25">
      <c r="A83" s="8" t="s">
        <v>77</v>
      </c>
      <c r="B83" s="8" t="s">
        <v>179</v>
      </c>
      <c r="C83" s="8" t="s">
        <v>212</v>
      </c>
      <c r="D83" s="16" t="s">
        <v>213</v>
      </c>
      <c r="E83" s="8" t="s">
        <v>182</v>
      </c>
      <c r="F83" s="36">
        <v>0.2</v>
      </c>
      <c r="G83" s="37">
        <v>9.5</v>
      </c>
      <c r="H83" s="38">
        <f t="shared" si="18"/>
        <v>9.49</v>
      </c>
      <c r="I83" s="39">
        <f t="shared" si="19"/>
        <v>1.89</v>
      </c>
      <c r="J83" s="2"/>
    </row>
    <row r="84" spans="1:10" x14ac:dyDescent="0.25">
      <c r="A84" s="8" t="s">
        <v>77</v>
      </c>
      <c r="B84" s="8" t="s">
        <v>179</v>
      </c>
      <c r="C84" s="8" t="s">
        <v>214</v>
      </c>
      <c r="D84" s="16" t="s">
        <v>215</v>
      </c>
      <c r="E84" s="8" t="s">
        <v>185</v>
      </c>
      <c r="F84" s="36">
        <v>0.1</v>
      </c>
      <c r="G84" s="37">
        <v>87.55</v>
      </c>
      <c r="H84" s="38">
        <f t="shared" si="18"/>
        <v>87.54</v>
      </c>
      <c r="I84" s="39">
        <f t="shared" si="19"/>
        <v>8.75</v>
      </c>
      <c r="J84" s="2"/>
    </row>
    <row r="85" spans="1:10" x14ac:dyDescent="0.25">
      <c r="A85" s="155" t="s">
        <v>173</v>
      </c>
      <c r="B85" s="155"/>
      <c r="C85" s="155"/>
      <c r="D85" s="155"/>
      <c r="E85" s="155"/>
      <c r="F85" s="155"/>
      <c r="G85" s="155"/>
      <c r="H85" s="155"/>
      <c r="I85" s="41">
        <f>SUM(I81:I84)</f>
        <v>34.99</v>
      </c>
      <c r="J85" s="2"/>
    </row>
    <row r="86" spans="1:10" x14ac:dyDescent="0.25">
      <c r="A86" s="148"/>
      <c r="B86" s="149"/>
      <c r="C86" s="149"/>
      <c r="D86" s="149"/>
      <c r="E86" s="149"/>
      <c r="F86" s="149"/>
      <c r="G86" s="149"/>
      <c r="H86" s="149"/>
      <c r="I86" s="150"/>
      <c r="J86" s="2"/>
    </row>
    <row r="87" spans="1:10" x14ac:dyDescent="0.25">
      <c r="A87" s="22" t="s">
        <v>161</v>
      </c>
      <c r="B87" s="151" t="s">
        <v>162</v>
      </c>
      <c r="C87" s="152"/>
      <c r="D87" s="152"/>
      <c r="E87" s="152"/>
      <c r="F87" s="152"/>
      <c r="G87" s="152"/>
      <c r="H87" s="153"/>
      <c r="I87" s="40" t="s">
        <v>163</v>
      </c>
      <c r="J87" s="2"/>
    </row>
    <row r="88" spans="1:10" ht="15" customHeight="1" x14ac:dyDescent="0.25">
      <c r="A88" s="26" t="s">
        <v>135</v>
      </c>
      <c r="B88" s="154" t="str">
        <f>VLOOKUP(A88,planilha!$B$7:$F$696,3,FALSE)</f>
        <v>Forro em lambri de PVC</v>
      </c>
      <c r="C88" s="154"/>
      <c r="D88" s="154"/>
      <c r="E88" s="154"/>
      <c r="F88" s="154"/>
      <c r="G88" s="154"/>
      <c r="H88" s="154"/>
      <c r="I88" s="27" t="str">
        <f>VLOOKUP(A88,planilha!$B$7:$F$696,5,FALSE)</f>
        <v>m²</v>
      </c>
      <c r="J88" s="28">
        <f>I93</f>
        <v>32.090000000000003</v>
      </c>
    </row>
    <row r="89" spans="1:10" x14ac:dyDescent="0.25">
      <c r="A89" s="29" t="s">
        <v>164</v>
      </c>
      <c r="B89" s="30" t="s">
        <v>165</v>
      </c>
      <c r="C89" s="31" t="s">
        <v>161</v>
      </c>
      <c r="D89" s="31" t="s">
        <v>166</v>
      </c>
      <c r="E89" s="31" t="s">
        <v>163</v>
      </c>
      <c r="F89" s="32" t="s">
        <v>167</v>
      </c>
      <c r="G89" s="33" t="s">
        <v>168</v>
      </c>
      <c r="H89" s="34" t="s">
        <v>169</v>
      </c>
      <c r="I89" s="35" t="s">
        <v>170</v>
      </c>
      <c r="J89" s="2"/>
    </row>
    <row r="90" spans="1:10" x14ac:dyDescent="0.25">
      <c r="A90" s="8" t="s">
        <v>171</v>
      </c>
      <c r="B90" s="8" t="s">
        <v>172</v>
      </c>
      <c r="C90" s="8">
        <v>88316</v>
      </c>
      <c r="D90" s="16" t="s">
        <v>177</v>
      </c>
      <c r="E90" s="8" t="s">
        <v>176</v>
      </c>
      <c r="F90" s="36">
        <v>0.27500000000000002</v>
      </c>
      <c r="G90" s="37">
        <v>15.12</v>
      </c>
      <c r="H90" s="38">
        <f t="shared" ref="H90:H92" si="20">IF(E90="H",G90,TRUNC(G90*(1-$K$5),2))</f>
        <v>15.12</v>
      </c>
      <c r="I90" s="39">
        <f t="shared" ref="I90:I92" si="21">TRUNC(H90*F90,2)</f>
        <v>4.1500000000000004</v>
      </c>
      <c r="J90" s="2"/>
    </row>
    <row r="91" spans="1:10" ht="24" x14ac:dyDescent="0.25">
      <c r="A91" s="8" t="s">
        <v>171</v>
      </c>
      <c r="B91" s="8" t="s">
        <v>172</v>
      </c>
      <c r="C91" s="8">
        <v>88278</v>
      </c>
      <c r="D91" s="16" t="s">
        <v>216</v>
      </c>
      <c r="E91" s="8" t="s">
        <v>176</v>
      </c>
      <c r="F91" s="36">
        <v>0.3</v>
      </c>
      <c r="G91" s="37">
        <v>13.17</v>
      </c>
      <c r="H91" s="38">
        <f t="shared" si="20"/>
        <v>13.17</v>
      </c>
      <c r="I91" s="39">
        <f t="shared" si="21"/>
        <v>3.95</v>
      </c>
      <c r="J91" s="2"/>
    </row>
    <row r="92" spans="1:10" x14ac:dyDescent="0.25">
      <c r="A92" s="8" t="s">
        <v>77</v>
      </c>
      <c r="B92" s="8" t="s">
        <v>179</v>
      </c>
      <c r="C92" s="8" t="s">
        <v>217</v>
      </c>
      <c r="D92" s="16" t="s">
        <v>3</v>
      </c>
      <c r="E92" s="8" t="s">
        <v>218</v>
      </c>
      <c r="F92" s="36">
        <v>1</v>
      </c>
      <c r="G92" s="37">
        <v>24</v>
      </c>
      <c r="H92" s="38">
        <f t="shared" si="20"/>
        <v>23.99</v>
      </c>
      <c r="I92" s="39">
        <f t="shared" si="21"/>
        <v>23.99</v>
      </c>
      <c r="J92" s="2"/>
    </row>
    <row r="93" spans="1:10" x14ac:dyDescent="0.25">
      <c r="A93" s="155" t="s">
        <v>173</v>
      </c>
      <c r="B93" s="155"/>
      <c r="C93" s="155"/>
      <c r="D93" s="155"/>
      <c r="E93" s="155"/>
      <c r="F93" s="155"/>
      <c r="G93" s="155"/>
      <c r="H93" s="155"/>
      <c r="I93" s="41">
        <f>SUM(I90:I92)</f>
        <v>32.090000000000003</v>
      </c>
      <c r="J93" s="2"/>
    </row>
    <row r="94" spans="1:10" x14ac:dyDescent="0.25">
      <c r="A94" s="148"/>
      <c r="B94" s="149"/>
      <c r="C94" s="149"/>
      <c r="D94" s="149"/>
      <c r="E94" s="149"/>
      <c r="F94" s="149"/>
      <c r="G94" s="149"/>
      <c r="H94" s="149"/>
      <c r="I94" s="150"/>
      <c r="J94" s="2"/>
    </row>
    <row r="95" spans="1:10" x14ac:dyDescent="0.25">
      <c r="A95" s="22" t="s">
        <v>161</v>
      </c>
      <c r="B95" s="151" t="s">
        <v>162</v>
      </c>
      <c r="C95" s="152"/>
      <c r="D95" s="152"/>
      <c r="E95" s="152"/>
      <c r="F95" s="152"/>
      <c r="G95" s="152"/>
      <c r="H95" s="153"/>
      <c r="I95" s="40" t="s">
        <v>163</v>
      </c>
      <c r="J95" s="2"/>
    </row>
    <row r="96" spans="1:10" x14ac:dyDescent="0.25">
      <c r="A96" s="26" t="str">
        <f>planilha!B24</f>
        <v>080313</v>
      </c>
      <c r="B96" s="154" t="str">
        <f>VLOOKUP(A96,planilha!$B$7:$F$696,3,FALSE)</f>
        <v>Impermeabilização com Vedacit (normal)</v>
      </c>
      <c r="C96" s="154"/>
      <c r="D96" s="154"/>
      <c r="E96" s="154"/>
      <c r="F96" s="154"/>
      <c r="G96" s="154"/>
      <c r="H96" s="154"/>
      <c r="I96" s="27" t="str">
        <f>VLOOKUP(A96,planilha!$B$7:$F$696,5,FALSE)</f>
        <v>m²</v>
      </c>
      <c r="J96" s="28">
        <f>I100</f>
        <v>13.61</v>
      </c>
    </row>
    <row r="97" spans="1:10" x14ac:dyDescent="0.25">
      <c r="A97" s="29" t="s">
        <v>164</v>
      </c>
      <c r="B97" s="30" t="s">
        <v>165</v>
      </c>
      <c r="C97" s="31" t="s">
        <v>161</v>
      </c>
      <c r="D97" s="31" t="s">
        <v>166</v>
      </c>
      <c r="E97" s="31" t="s">
        <v>163</v>
      </c>
      <c r="F97" s="32" t="s">
        <v>167</v>
      </c>
      <c r="G97" s="33" t="s">
        <v>168</v>
      </c>
      <c r="H97" s="34" t="s">
        <v>169</v>
      </c>
      <c r="I97" s="35" t="s">
        <v>170</v>
      </c>
      <c r="J97" s="2"/>
    </row>
    <row r="98" spans="1:10" x14ac:dyDescent="0.25">
      <c r="A98" s="8" t="s">
        <v>171</v>
      </c>
      <c r="B98" s="8" t="s">
        <v>172</v>
      </c>
      <c r="C98" s="8">
        <v>88310</v>
      </c>
      <c r="D98" s="16" t="s">
        <v>178</v>
      </c>
      <c r="E98" s="8" t="s">
        <v>176</v>
      </c>
      <c r="F98" s="36">
        <v>0.61760000000000004</v>
      </c>
      <c r="G98" s="37">
        <v>19.059999999999999</v>
      </c>
      <c r="H98" s="38">
        <f t="shared" ref="H98:H99" si="22">IF(E98="H",G98,TRUNC(G98*(1-$K$5),2))</f>
        <v>19.059999999999999</v>
      </c>
      <c r="I98" s="39">
        <f t="shared" ref="I98:I99" si="23">TRUNC(H98*F98,2)</f>
        <v>11.77</v>
      </c>
      <c r="J98" s="2"/>
    </row>
    <row r="99" spans="1:10" x14ac:dyDescent="0.25">
      <c r="A99" s="8" t="s">
        <v>77</v>
      </c>
      <c r="B99" s="8" t="s">
        <v>179</v>
      </c>
      <c r="C99" s="8" t="s">
        <v>219</v>
      </c>
      <c r="D99" s="16" t="s">
        <v>220</v>
      </c>
      <c r="E99" s="8" t="s">
        <v>221</v>
      </c>
      <c r="F99" s="36">
        <v>0.2</v>
      </c>
      <c r="G99" s="37">
        <v>9.2200000000000006</v>
      </c>
      <c r="H99" s="38">
        <f t="shared" si="22"/>
        <v>9.2100000000000009</v>
      </c>
      <c r="I99" s="39">
        <f t="shared" si="23"/>
        <v>1.84</v>
      </c>
      <c r="J99" s="2"/>
    </row>
    <row r="100" spans="1:10" x14ac:dyDescent="0.25">
      <c r="A100" s="155" t="s">
        <v>173</v>
      </c>
      <c r="B100" s="155"/>
      <c r="C100" s="155"/>
      <c r="D100" s="155"/>
      <c r="E100" s="155"/>
      <c r="F100" s="155"/>
      <c r="G100" s="155"/>
      <c r="H100" s="155"/>
      <c r="I100" s="41">
        <f>SUM(I98:I99)</f>
        <v>13.61</v>
      </c>
      <c r="J100" s="2"/>
    </row>
    <row r="101" spans="1:10" x14ac:dyDescent="0.25">
      <c r="A101" s="148"/>
      <c r="B101" s="149"/>
      <c r="C101" s="149"/>
      <c r="D101" s="149"/>
      <c r="E101" s="149"/>
      <c r="F101" s="149"/>
      <c r="G101" s="149"/>
      <c r="H101" s="149"/>
      <c r="I101" s="150"/>
      <c r="J101" s="2"/>
    </row>
    <row r="102" spans="1:10" x14ac:dyDescent="0.25">
      <c r="A102" s="22" t="s">
        <v>161</v>
      </c>
      <c r="B102" s="151" t="s">
        <v>162</v>
      </c>
      <c r="C102" s="152"/>
      <c r="D102" s="152"/>
      <c r="E102" s="152"/>
      <c r="F102" s="152"/>
      <c r="G102" s="152"/>
      <c r="H102" s="153"/>
      <c r="I102" s="40" t="s">
        <v>163</v>
      </c>
    </row>
    <row r="103" spans="1:10" x14ac:dyDescent="0.25">
      <c r="A103" s="26" t="str">
        <f>planilha!B25</f>
        <v>080300</v>
      </c>
      <c r="B103" s="154" t="str">
        <f>VLOOKUP(A103,planilha!$B$7:$F$696,3,FALSE)</f>
        <v>Imunização p/madeira c/carbolineum</v>
      </c>
      <c r="C103" s="154"/>
      <c r="D103" s="154"/>
      <c r="E103" s="154"/>
      <c r="F103" s="154"/>
      <c r="G103" s="154"/>
      <c r="H103" s="154"/>
      <c r="I103" s="27" t="str">
        <f>VLOOKUP(A103,planilha!$B$7:$F$696,5,FALSE)</f>
        <v>m²</v>
      </c>
      <c r="J103" s="44">
        <f>I107</f>
        <v>4.66</v>
      </c>
    </row>
    <row r="104" spans="1:10" x14ac:dyDescent="0.25">
      <c r="A104" s="29" t="s">
        <v>164</v>
      </c>
      <c r="B104" s="30" t="s">
        <v>165</v>
      </c>
      <c r="C104" s="31" t="s">
        <v>161</v>
      </c>
      <c r="D104" s="31" t="s">
        <v>166</v>
      </c>
      <c r="E104" s="31" t="s">
        <v>163</v>
      </c>
      <c r="F104" s="32" t="s">
        <v>167</v>
      </c>
      <c r="G104" s="33" t="s">
        <v>168</v>
      </c>
      <c r="H104" s="34" t="s">
        <v>169</v>
      </c>
      <c r="I104" s="35" t="s">
        <v>170</v>
      </c>
    </row>
    <row r="105" spans="1:10" x14ac:dyDescent="0.25">
      <c r="A105" s="8" t="s">
        <v>171</v>
      </c>
      <c r="B105" s="8" t="s">
        <v>172</v>
      </c>
      <c r="C105" s="8">
        <v>88316</v>
      </c>
      <c r="D105" s="16" t="s">
        <v>177</v>
      </c>
      <c r="E105" s="8" t="s">
        <v>176</v>
      </c>
      <c r="F105" s="36">
        <v>0.15</v>
      </c>
      <c r="G105" s="37">
        <v>15.12</v>
      </c>
      <c r="H105" s="38">
        <f t="shared" ref="H105:H106" si="24">IF(E105="H",G105,TRUNC(G105*(1-$K$5),2))</f>
        <v>15.12</v>
      </c>
      <c r="I105" s="39">
        <f t="shared" ref="I105:I106" si="25">TRUNC(H105*F105,2)</f>
        <v>2.2599999999999998</v>
      </c>
    </row>
    <row r="106" spans="1:10" x14ac:dyDescent="0.25">
      <c r="A106" s="8" t="s">
        <v>77</v>
      </c>
      <c r="B106" s="8" t="s">
        <v>179</v>
      </c>
      <c r="C106" s="8" t="s">
        <v>222</v>
      </c>
      <c r="D106" s="16" t="s">
        <v>223</v>
      </c>
      <c r="E106" s="8" t="s">
        <v>221</v>
      </c>
      <c r="F106" s="36">
        <v>0.14000000000000001</v>
      </c>
      <c r="G106" s="37">
        <v>17.2</v>
      </c>
      <c r="H106" s="38">
        <f t="shared" si="24"/>
        <v>17.190000000000001</v>
      </c>
      <c r="I106" s="39">
        <f t="shared" si="25"/>
        <v>2.4</v>
      </c>
    </row>
    <row r="107" spans="1:10" x14ac:dyDescent="0.25">
      <c r="A107" s="155" t="s">
        <v>173</v>
      </c>
      <c r="B107" s="155"/>
      <c r="C107" s="155"/>
      <c r="D107" s="155"/>
      <c r="E107" s="155"/>
      <c r="F107" s="155"/>
      <c r="G107" s="155"/>
      <c r="H107" s="155"/>
      <c r="I107" s="41">
        <f>SUM(I105:I106)</f>
        <v>4.66</v>
      </c>
    </row>
    <row r="108" spans="1:10" x14ac:dyDescent="0.25">
      <c r="A108" s="148"/>
      <c r="B108" s="149"/>
      <c r="C108" s="149"/>
      <c r="D108" s="149"/>
      <c r="E108" s="149"/>
      <c r="F108" s="149"/>
      <c r="G108" s="149"/>
      <c r="H108" s="149"/>
      <c r="I108" s="150"/>
    </row>
    <row r="109" spans="1:10" x14ac:dyDescent="0.25">
      <c r="A109" s="22" t="s">
        <v>161</v>
      </c>
      <c r="B109" s="151" t="s">
        <v>162</v>
      </c>
      <c r="C109" s="152"/>
      <c r="D109" s="152"/>
      <c r="E109" s="152"/>
      <c r="F109" s="152"/>
      <c r="G109" s="152"/>
      <c r="H109" s="153"/>
      <c r="I109" s="40" t="s">
        <v>163</v>
      </c>
      <c r="J109" s="2"/>
    </row>
    <row r="110" spans="1:10" ht="15" customHeight="1" x14ac:dyDescent="0.25">
      <c r="A110" s="26" t="s">
        <v>45</v>
      </c>
      <c r="B110" s="154" t="str">
        <f>VLOOKUP(A110,planilha!$B$7:$F$696,3,FALSE)</f>
        <v>Chapisco de cimento e areia no traço 1:3</v>
      </c>
      <c r="C110" s="154"/>
      <c r="D110" s="154"/>
      <c r="E110" s="154"/>
      <c r="F110" s="154"/>
      <c r="G110" s="154"/>
      <c r="H110" s="154"/>
      <c r="I110" s="27" t="str">
        <f>VLOOKUP(A110,planilha!$B$7:$F$696,5,FALSE)</f>
        <v>m²</v>
      </c>
      <c r="J110" s="28">
        <f>I115</f>
        <v>7.5100000000000007</v>
      </c>
    </row>
    <row r="111" spans="1:10" x14ac:dyDescent="0.25">
      <c r="A111" s="29" t="s">
        <v>164</v>
      </c>
      <c r="B111" s="30" t="s">
        <v>165</v>
      </c>
      <c r="C111" s="31" t="s">
        <v>161</v>
      </c>
      <c r="D111" s="31" t="s">
        <v>166</v>
      </c>
      <c r="E111" s="31" t="s">
        <v>163</v>
      </c>
      <c r="F111" s="32" t="s">
        <v>167</v>
      </c>
      <c r="G111" s="33" t="s">
        <v>168</v>
      </c>
      <c r="H111" s="34" t="s">
        <v>169</v>
      </c>
      <c r="I111" s="35" t="s">
        <v>170</v>
      </c>
      <c r="J111" s="2"/>
    </row>
    <row r="112" spans="1:10" x14ac:dyDescent="0.25">
      <c r="A112" s="8" t="s">
        <v>171</v>
      </c>
      <c r="B112" s="8" t="s">
        <v>172</v>
      </c>
      <c r="C112" s="8">
        <v>88316</v>
      </c>
      <c r="D112" s="16" t="s">
        <v>177</v>
      </c>
      <c r="E112" s="8" t="s">
        <v>176</v>
      </c>
      <c r="F112" s="36">
        <v>0.2</v>
      </c>
      <c r="G112" s="37">
        <v>15.12</v>
      </c>
      <c r="H112" s="38">
        <f t="shared" ref="H112:H114" si="26">IF(E112="H",G112,TRUNC(G112*(1-$K$5),2))</f>
        <v>15.12</v>
      </c>
      <c r="I112" s="39">
        <f t="shared" ref="I112:I114" si="27">TRUNC(H112*F112,2)</f>
        <v>3.02</v>
      </c>
      <c r="J112" s="2"/>
    </row>
    <row r="113" spans="1:10" x14ac:dyDescent="0.25">
      <c r="A113" s="8" t="s">
        <v>171</v>
      </c>
      <c r="B113" s="8" t="s">
        <v>172</v>
      </c>
      <c r="C113" s="8">
        <v>88309</v>
      </c>
      <c r="D113" s="16" t="s">
        <v>224</v>
      </c>
      <c r="E113" s="8" t="s">
        <v>176</v>
      </c>
      <c r="F113" s="36">
        <v>0.16800000000000001</v>
      </c>
      <c r="G113" s="37">
        <v>19.14</v>
      </c>
      <c r="H113" s="38">
        <f t="shared" si="26"/>
        <v>19.14</v>
      </c>
      <c r="I113" s="39">
        <f t="shared" si="27"/>
        <v>3.21</v>
      </c>
      <c r="J113" s="2"/>
    </row>
    <row r="114" spans="1:10" x14ac:dyDescent="0.25">
      <c r="A114" s="8" t="s">
        <v>77</v>
      </c>
      <c r="B114" s="8" t="s">
        <v>179</v>
      </c>
      <c r="C114" s="8">
        <v>110248</v>
      </c>
      <c r="D114" s="16" t="s">
        <v>225</v>
      </c>
      <c r="E114" s="8" t="s">
        <v>209</v>
      </c>
      <c r="F114" s="36">
        <v>3.0000000000000001E-3</v>
      </c>
      <c r="G114" s="37">
        <v>429.8</v>
      </c>
      <c r="H114" s="38">
        <f t="shared" si="26"/>
        <v>429.75</v>
      </c>
      <c r="I114" s="39">
        <f t="shared" si="27"/>
        <v>1.28</v>
      </c>
      <c r="J114" s="2"/>
    </row>
    <row r="115" spans="1:10" x14ac:dyDescent="0.25">
      <c r="A115" s="155" t="s">
        <v>173</v>
      </c>
      <c r="B115" s="155"/>
      <c r="C115" s="155"/>
      <c r="D115" s="155"/>
      <c r="E115" s="155"/>
      <c r="F115" s="155"/>
      <c r="G115" s="155"/>
      <c r="H115" s="155"/>
      <c r="I115" s="41">
        <f>SUM(I112:I114)</f>
        <v>7.5100000000000007</v>
      </c>
      <c r="J115" s="2"/>
    </row>
    <row r="116" spans="1:10" x14ac:dyDescent="0.25">
      <c r="A116" s="148"/>
      <c r="B116" s="149"/>
      <c r="C116" s="149"/>
      <c r="D116" s="149"/>
      <c r="E116" s="149"/>
      <c r="F116" s="149"/>
      <c r="G116" s="149"/>
      <c r="H116" s="149"/>
      <c r="I116" s="150"/>
      <c r="J116" s="2"/>
    </row>
    <row r="117" spans="1:10" x14ac:dyDescent="0.25">
      <c r="A117" s="22" t="s">
        <v>161</v>
      </c>
      <c r="B117" s="151" t="s">
        <v>162</v>
      </c>
      <c r="C117" s="152"/>
      <c r="D117" s="152"/>
      <c r="E117" s="152"/>
      <c r="F117" s="152"/>
      <c r="G117" s="152"/>
      <c r="H117" s="153"/>
      <c r="I117" s="40" t="s">
        <v>163</v>
      </c>
      <c r="J117" s="2"/>
    </row>
    <row r="118" spans="1:10" ht="15" customHeight="1" x14ac:dyDescent="0.25">
      <c r="A118" s="26" t="s">
        <v>93</v>
      </c>
      <c r="B118" s="154" t="str">
        <f>VLOOKUP(A118,planilha!$B$7:$F$696,3,FALSE)</f>
        <v>Reboco com argamassa 1:6:Adit. Plast.</v>
      </c>
      <c r="C118" s="154"/>
      <c r="D118" s="154"/>
      <c r="E118" s="154"/>
      <c r="F118" s="154"/>
      <c r="G118" s="154"/>
      <c r="H118" s="154"/>
      <c r="I118" s="27" t="str">
        <f>VLOOKUP(A118,planilha!$B$7:$F$696,5,FALSE)</f>
        <v>m²</v>
      </c>
      <c r="J118" s="28">
        <f>I123</f>
        <v>30.46</v>
      </c>
    </row>
    <row r="119" spans="1:10" x14ac:dyDescent="0.25">
      <c r="A119" s="29" t="s">
        <v>164</v>
      </c>
      <c r="B119" s="30" t="s">
        <v>165</v>
      </c>
      <c r="C119" s="31" t="s">
        <v>161</v>
      </c>
      <c r="D119" s="31" t="s">
        <v>166</v>
      </c>
      <c r="E119" s="31" t="s">
        <v>163</v>
      </c>
      <c r="F119" s="32" t="s">
        <v>167</v>
      </c>
      <c r="G119" s="33" t="s">
        <v>168</v>
      </c>
      <c r="H119" s="34" t="s">
        <v>169</v>
      </c>
      <c r="I119" s="35" t="s">
        <v>170</v>
      </c>
      <c r="J119" s="2"/>
    </row>
    <row r="120" spans="1:10" x14ac:dyDescent="0.25">
      <c r="A120" s="8" t="s">
        <v>171</v>
      </c>
      <c r="B120" s="8" t="s">
        <v>172</v>
      </c>
      <c r="C120" s="8">
        <v>88316</v>
      </c>
      <c r="D120" s="16" t="s">
        <v>177</v>
      </c>
      <c r="E120" s="8" t="s">
        <v>176</v>
      </c>
      <c r="F120" s="36">
        <v>0.7</v>
      </c>
      <c r="G120" s="37">
        <v>15.12</v>
      </c>
      <c r="H120" s="38">
        <f t="shared" ref="H120:H122" si="28">IF(E120="H",G120,TRUNC(G120*(1-$K$5),2))</f>
        <v>15.12</v>
      </c>
      <c r="I120" s="39">
        <f t="shared" ref="I120:I122" si="29">TRUNC(H120*F120,2)</f>
        <v>10.58</v>
      </c>
      <c r="J120" s="2"/>
    </row>
    <row r="121" spans="1:10" x14ac:dyDescent="0.25">
      <c r="A121" s="8" t="s">
        <v>171</v>
      </c>
      <c r="B121" s="8" t="s">
        <v>172</v>
      </c>
      <c r="C121" s="8">
        <v>88309</v>
      </c>
      <c r="D121" s="16" t="s">
        <v>224</v>
      </c>
      <c r="E121" s="8" t="s">
        <v>176</v>
      </c>
      <c r="F121" s="36">
        <v>0.67700000000000005</v>
      </c>
      <c r="G121" s="37">
        <v>19.14</v>
      </c>
      <c r="H121" s="38">
        <f t="shared" si="28"/>
        <v>19.14</v>
      </c>
      <c r="I121" s="39">
        <f t="shared" si="29"/>
        <v>12.95</v>
      </c>
      <c r="J121" s="2"/>
    </row>
    <row r="122" spans="1:10" x14ac:dyDescent="0.25">
      <c r="A122" s="8" t="s">
        <v>77</v>
      </c>
      <c r="B122" s="8" t="s">
        <v>179</v>
      </c>
      <c r="C122" s="8">
        <v>110764</v>
      </c>
      <c r="D122" s="16" t="s">
        <v>226</v>
      </c>
      <c r="E122" s="8" t="s">
        <v>209</v>
      </c>
      <c r="F122" s="36">
        <v>2.5000000000000001E-2</v>
      </c>
      <c r="G122" s="37">
        <v>277.60000000000002</v>
      </c>
      <c r="H122" s="38">
        <f t="shared" si="28"/>
        <v>277.57</v>
      </c>
      <c r="I122" s="39">
        <f t="shared" si="29"/>
        <v>6.93</v>
      </c>
      <c r="J122" s="2"/>
    </row>
    <row r="123" spans="1:10" x14ac:dyDescent="0.25">
      <c r="A123" s="155" t="s">
        <v>173</v>
      </c>
      <c r="B123" s="155"/>
      <c r="C123" s="155"/>
      <c r="D123" s="155"/>
      <c r="E123" s="155"/>
      <c r="F123" s="155"/>
      <c r="G123" s="155"/>
      <c r="H123" s="155"/>
      <c r="I123" s="41">
        <f>SUM(I120:I122)</f>
        <v>30.46</v>
      </c>
      <c r="J123" s="2"/>
    </row>
    <row r="124" spans="1:10" x14ac:dyDescent="0.25">
      <c r="A124" s="148"/>
      <c r="B124" s="149"/>
      <c r="C124" s="149"/>
      <c r="D124" s="149"/>
      <c r="E124" s="149"/>
      <c r="F124" s="149"/>
      <c r="G124" s="149"/>
      <c r="H124" s="149"/>
      <c r="I124" s="150"/>
      <c r="J124" s="2"/>
    </row>
    <row r="125" spans="1:10" x14ac:dyDescent="0.25">
      <c r="A125" s="22" t="s">
        <v>161</v>
      </c>
      <c r="B125" s="151" t="s">
        <v>162</v>
      </c>
      <c r="C125" s="152"/>
      <c r="D125" s="152"/>
      <c r="E125" s="152"/>
      <c r="F125" s="152"/>
      <c r="G125" s="152"/>
      <c r="H125" s="153"/>
      <c r="I125" s="40" t="s">
        <v>163</v>
      </c>
      <c r="J125" s="2"/>
    </row>
    <row r="126" spans="1:10" ht="15" customHeight="1" x14ac:dyDescent="0.25">
      <c r="A126" s="26" t="s">
        <v>105</v>
      </c>
      <c r="B126" s="154" t="str">
        <f>VLOOKUP(A126,planilha!$B$7:$F$696,3,FALSE)</f>
        <v>Revestimento Cerâmico Padrão Médio</v>
      </c>
      <c r="C126" s="154"/>
      <c r="D126" s="154"/>
      <c r="E126" s="154"/>
      <c r="F126" s="154"/>
      <c r="G126" s="154"/>
      <c r="H126" s="154"/>
      <c r="I126" s="27" t="str">
        <f>VLOOKUP(A126,planilha!$B$7:$F$696,5,FALSE)</f>
        <v>m²</v>
      </c>
      <c r="J126" s="28">
        <f>I133</f>
        <v>60.819999999999993</v>
      </c>
    </row>
    <row r="127" spans="1:10" x14ac:dyDescent="0.25">
      <c r="A127" s="29" t="s">
        <v>164</v>
      </c>
      <c r="B127" s="30" t="s">
        <v>165</v>
      </c>
      <c r="C127" s="31" t="s">
        <v>161</v>
      </c>
      <c r="D127" s="31" t="s">
        <v>166</v>
      </c>
      <c r="E127" s="31" t="s">
        <v>163</v>
      </c>
      <c r="F127" s="32" t="s">
        <v>167</v>
      </c>
      <c r="G127" s="33" t="s">
        <v>168</v>
      </c>
      <c r="H127" s="34" t="s">
        <v>169</v>
      </c>
      <c r="I127" s="35" t="s">
        <v>170</v>
      </c>
      <c r="J127" s="2"/>
    </row>
    <row r="128" spans="1:10" x14ac:dyDescent="0.25">
      <c r="A128" s="8" t="s">
        <v>171</v>
      </c>
      <c r="B128" s="8" t="s">
        <v>172</v>
      </c>
      <c r="C128" s="8">
        <v>88316</v>
      </c>
      <c r="D128" s="16" t="s">
        <v>177</v>
      </c>
      <c r="E128" s="8" t="s">
        <v>176</v>
      </c>
      <c r="F128" s="36">
        <v>0.6</v>
      </c>
      <c r="G128" s="37">
        <v>15.12</v>
      </c>
      <c r="H128" s="38">
        <f t="shared" ref="H128:H132" si="30">IF(E128="H",G128,TRUNC(G128*(1-$K$5),2))</f>
        <v>15.12</v>
      </c>
      <c r="I128" s="39">
        <f t="shared" ref="I128:I132" si="31">TRUNC(H128*F128,2)</f>
        <v>9.07</v>
      </c>
      <c r="J128" s="2"/>
    </row>
    <row r="129" spans="1:10" x14ac:dyDescent="0.25">
      <c r="A129" s="8" t="s">
        <v>171</v>
      </c>
      <c r="B129" s="8" t="s">
        <v>172</v>
      </c>
      <c r="C129" s="8">
        <v>88309</v>
      </c>
      <c r="D129" s="16" t="s">
        <v>224</v>
      </c>
      <c r="E129" s="8" t="s">
        <v>176</v>
      </c>
      <c r="F129" s="36">
        <v>0.86599999999999999</v>
      </c>
      <c r="G129" s="37">
        <v>19.14</v>
      </c>
      <c r="H129" s="38">
        <f t="shared" si="30"/>
        <v>19.14</v>
      </c>
      <c r="I129" s="39">
        <f t="shared" si="31"/>
        <v>16.57</v>
      </c>
      <c r="J129" s="2"/>
    </row>
    <row r="130" spans="1:10" x14ac:dyDescent="0.25">
      <c r="A130" s="8" t="s">
        <v>77</v>
      </c>
      <c r="B130" s="8" t="s">
        <v>179</v>
      </c>
      <c r="C130" s="8" t="s">
        <v>227</v>
      </c>
      <c r="D130" s="16" t="s">
        <v>228</v>
      </c>
      <c r="E130" s="8" t="s">
        <v>182</v>
      </c>
      <c r="F130" s="36">
        <v>5</v>
      </c>
      <c r="G130" s="37">
        <v>0.61</v>
      </c>
      <c r="H130" s="38">
        <f t="shared" si="30"/>
        <v>0.6</v>
      </c>
      <c r="I130" s="39">
        <f t="shared" si="31"/>
        <v>3</v>
      </c>
      <c r="J130" s="2"/>
    </row>
    <row r="131" spans="1:10" x14ac:dyDescent="0.25">
      <c r="A131" s="8" t="s">
        <v>77</v>
      </c>
      <c r="B131" s="8" t="s">
        <v>179</v>
      </c>
      <c r="C131" s="8" t="s">
        <v>229</v>
      </c>
      <c r="D131" s="16" t="s">
        <v>230</v>
      </c>
      <c r="E131" s="8" t="s">
        <v>182</v>
      </c>
      <c r="F131" s="36">
        <v>1.2</v>
      </c>
      <c r="G131" s="37">
        <v>5.15</v>
      </c>
      <c r="H131" s="38">
        <f t="shared" si="30"/>
        <v>5.14</v>
      </c>
      <c r="I131" s="39">
        <f t="shared" si="31"/>
        <v>6.16</v>
      </c>
      <c r="J131" s="2"/>
    </row>
    <row r="132" spans="1:10" x14ac:dyDescent="0.25">
      <c r="A132" s="8" t="s">
        <v>77</v>
      </c>
      <c r="B132" s="8" t="s">
        <v>179</v>
      </c>
      <c r="C132" s="8" t="s">
        <v>231</v>
      </c>
      <c r="D132" s="16" t="s">
        <v>98</v>
      </c>
      <c r="E132" s="8" t="s">
        <v>218</v>
      </c>
      <c r="F132" s="36">
        <v>1.05</v>
      </c>
      <c r="G132" s="37">
        <v>24.8</v>
      </c>
      <c r="H132" s="38">
        <f t="shared" si="30"/>
        <v>24.79</v>
      </c>
      <c r="I132" s="39">
        <f t="shared" si="31"/>
        <v>26.02</v>
      </c>
      <c r="J132" s="2"/>
    </row>
    <row r="133" spans="1:10" x14ac:dyDescent="0.25">
      <c r="A133" s="155" t="s">
        <v>173</v>
      </c>
      <c r="B133" s="155"/>
      <c r="C133" s="155"/>
      <c r="D133" s="155"/>
      <c r="E133" s="155"/>
      <c r="F133" s="155"/>
      <c r="G133" s="155"/>
      <c r="H133" s="155"/>
      <c r="I133" s="41">
        <f>SUM(I128:I132)</f>
        <v>60.819999999999993</v>
      </c>
      <c r="J133" s="2"/>
    </row>
    <row r="134" spans="1:10" x14ac:dyDescent="0.25">
      <c r="A134" s="148"/>
      <c r="B134" s="149"/>
      <c r="C134" s="149"/>
      <c r="D134" s="149"/>
      <c r="E134" s="149"/>
      <c r="F134" s="149"/>
      <c r="G134" s="149"/>
      <c r="H134" s="149"/>
      <c r="I134" s="150"/>
      <c r="J134" s="2"/>
    </row>
    <row r="135" spans="1:10" x14ac:dyDescent="0.25">
      <c r="A135" s="22" t="s">
        <v>161</v>
      </c>
      <c r="B135" s="151" t="s">
        <v>162</v>
      </c>
      <c r="C135" s="152"/>
      <c r="D135" s="152"/>
      <c r="E135" s="152"/>
      <c r="F135" s="152"/>
      <c r="G135" s="152"/>
      <c r="H135" s="153"/>
      <c r="I135" s="40" t="s">
        <v>163</v>
      </c>
      <c r="J135" s="2"/>
    </row>
    <row r="136" spans="1:10" x14ac:dyDescent="0.25">
      <c r="A136" s="26" t="str">
        <f>planilha!B31</f>
        <v>030011</v>
      </c>
      <c r="B136" s="154" t="str">
        <f>VLOOKUP(A136,planilha!$B$7:$F$696,3,FALSE)</f>
        <v>Aterro c/ material fora da obra, incl. apiloamento</v>
      </c>
      <c r="C136" s="154"/>
      <c r="D136" s="154"/>
      <c r="E136" s="154"/>
      <c r="F136" s="154"/>
      <c r="G136" s="154"/>
      <c r="H136" s="154"/>
      <c r="I136" s="27" t="str">
        <f>VLOOKUP(A136,planilha!$B$7:$F$696,5,FALSE)</f>
        <v>m³</v>
      </c>
      <c r="J136" s="28">
        <f>I141</f>
        <v>79.72</v>
      </c>
    </row>
    <row r="137" spans="1:10" x14ac:dyDescent="0.25">
      <c r="A137" s="29" t="s">
        <v>164</v>
      </c>
      <c r="B137" s="30" t="s">
        <v>165</v>
      </c>
      <c r="C137" s="31" t="s">
        <v>161</v>
      </c>
      <c r="D137" s="31" t="s">
        <v>166</v>
      </c>
      <c r="E137" s="31" t="s">
        <v>163</v>
      </c>
      <c r="F137" s="32" t="s">
        <v>167</v>
      </c>
      <c r="G137" s="33" t="s">
        <v>168</v>
      </c>
      <c r="H137" s="34" t="s">
        <v>169</v>
      </c>
      <c r="I137" s="35" t="s">
        <v>170</v>
      </c>
      <c r="J137" s="2"/>
    </row>
    <row r="138" spans="1:10" x14ac:dyDescent="0.25">
      <c r="A138" s="8" t="s">
        <v>171</v>
      </c>
      <c r="B138" s="8" t="s">
        <v>172</v>
      </c>
      <c r="C138" s="8">
        <v>88316</v>
      </c>
      <c r="D138" s="16" t="s">
        <v>177</v>
      </c>
      <c r="E138" s="8" t="s">
        <v>176</v>
      </c>
      <c r="F138" s="36">
        <v>2.2530000000000001</v>
      </c>
      <c r="G138" s="37">
        <v>15.12</v>
      </c>
      <c r="H138" s="38">
        <f t="shared" ref="H138:H140" si="32">IF(E138="H",G138,TRUNC(G138*(1-$K$5),2))</f>
        <v>15.12</v>
      </c>
      <c r="I138" s="39">
        <f t="shared" ref="I138:I140" si="33">TRUNC(H138*F138,2)</f>
        <v>34.06</v>
      </c>
      <c r="J138" s="2"/>
    </row>
    <row r="139" spans="1:10" x14ac:dyDescent="0.25">
      <c r="A139" s="8" t="s">
        <v>77</v>
      </c>
      <c r="B139" s="8" t="s">
        <v>179</v>
      </c>
      <c r="C139" s="8" t="s">
        <v>232</v>
      </c>
      <c r="D139" s="16" t="s">
        <v>233</v>
      </c>
      <c r="E139" s="8" t="s">
        <v>234</v>
      </c>
      <c r="F139" s="36">
        <v>0.3</v>
      </c>
      <c r="G139" s="37">
        <v>10.62</v>
      </c>
      <c r="H139" s="38">
        <f t="shared" si="32"/>
        <v>10.61</v>
      </c>
      <c r="I139" s="39">
        <f t="shared" si="33"/>
        <v>3.18</v>
      </c>
      <c r="J139" s="2"/>
    </row>
    <row r="140" spans="1:10" x14ac:dyDescent="0.25">
      <c r="A140" s="8" t="s">
        <v>77</v>
      </c>
      <c r="B140" s="8" t="s">
        <v>179</v>
      </c>
      <c r="C140" s="8" t="s">
        <v>235</v>
      </c>
      <c r="D140" s="16" t="s">
        <v>236</v>
      </c>
      <c r="E140" s="8" t="s">
        <v>209</v>
      </c>
      <c r="F140" s="36">
        <v>1.25</v>
      </c>
      <c r="G140" s="37">
        <v>34</v>
      </c>
      <c r="H140" s="38">
        <f t="shared" si="32"/>
        <v>33.99</v>
      </c>
      <c r="I140" s="39">
        <f t="shared" si="33"/>
        <v>42.48</v>
      </c>
      <c r="J140" s="2"/>
    </row>
    <row r="141" spans="1:10" x14ac:dyDescent="0.25">
      <c r="A141" s="155" t="s">
        <v>173</v>
      </c>
      <c r="B141" s="155"/>
      <c r="C141" s="155"/>
      <c r="D141" s="155"/>
      <c r="E141" s="155"/>
      <c r="F141" s="155"/>
      <c r="G141" s="155"/>
      <c r="H141" s="155"/>
      <c r="I141" s="41">
        <f>SUM(I138:I140)</f>
        <v>79.72</v>
      </c>
      <c r="J141" s="2"/>
    </row>
    <row r="142" spans="1:10" x14ac:dyDescent="0.25">
      <c r="A142" s="148"/>
      <c r="B142" s="149"/>
      <c r="C142" s="149"/>
      <c r="D142" s="149"/>
      <c r="E142" s="149"/>
      <c r="F142" s="149"/>
      <c r="G142" s="149"/>
      <c r="H142" s="149"/>
      <c r="I142" s="150"/>
      <c r="J142" s="2"/>
    </row>
    <row r="143" spans="1:10" x14ac:dyDescent="0.25">
      <c r="A143" s="22" t="s">
        <v>161</v>
      </c>
      <c r="B143" s="151" t="s">
        <v>162</v>
      </c>
      <c r="C143" s="152"/>
      <c r="D143" s="152"/>
      <c r="E143" s="152"/>
      <c r="F143" s="152"/>
      <c r="G143" s="152"/>
      <c r="H143" s="153"/>
      <c r="I143" s="40" t="s">
        <v>163</v>
      </c>
      <c r="J143" s="2"/>
    </row>
    <row r="144" spans="1:10" ht="15" customHeight="1" x14ac:dyDescent="0.25">
      <c r="A144" s="26" t="s">
        <v>123</v>
      </c>
      <c r="B144" s="154" t="str">
        <f>VLOOKUP(A144,planilha!$B$7:$F$696,3,FALSE)</f>
        <v>Camada regularizadora no traço 1:4</v>
      </c>
      <c r="C144" s="154"/>
      <c r="D144" s="154"/>
      <c r="E144" s="154"/>
      <c r="F144" s="154"/>
      <c r="G144" s="154"/>
      <c r="H144" s="154"/>
      <c r="I144" s="27" t="str">
        <f>VLOOKUP(A144,planilha!$B$7:$F$696,5,FALSE)</f>
        <v>m²</v>
      </c>
      <c r="J144" s="28">
        <f>I150</f>
        <v>24.380000000000003</v>
      </c>
    </row>
    <row r="145" spans="1:10" x14ac:dyDescent="0.25">
      <c r="A145" s="29" t="s">
        <v>164</v>
      </c>
      <c r="B145" s="30" t="s">
        <v>165</v>
      </c>
      <c r="C145" s="31" t="s">
        <v>161</v>
      </c>
      <c r="D145" s="31" t="s">
        <v>166</v>
      </c>
      <c r="E145" s="31" t="s">
        <v>163</v>
      </c>
      <c r="F145" s="32" t="s">
        <v>167</v>
      </c>
      <c r="G145" s="33" t="s">
        <v>168</v>
      </c>
      <c r="H145" s="34" t="s">
        <v>169</v>
      </c>
      <c r="I145" s="35" t="s">
        <v>170</v>
      </c>
      <c r="J145" s="2"/>
    </row>
    <row r="146" spans="1:10" x14ac:dyDescent="0.25">
      <c r="A146" s="8" t="s">
        <v>171</v>
      </c>
      <c r="B146" s="8" t="s">
        <v>172</v>
      </c>
      <c r="C146" s="8">
        <v>88316</v>
      </c>
      <c r="D146" s="16" t="s">
        <v>177</v>
      </c>
      <c r="E146" s="8" t="s">
        <v>176</v>
      </c>
      <c r="F146" s="36">
        <v>0.65400000000000003</v>
      </c>
      <c r="G146" s="37">
        <v>15.12</v>
      </c>
      <c r="H146" s="38">
        <f t="shared" ref="H146:H149" si="34">IF(E146="H",G146,TRUNC(G146*(1-$K$5),2))</f>
        <v>15.12</v>
      </c>
      <c r="I146" s="39">
        <f t="shared" ref="I146:I149" si="35">TRUNC(H146*F146,2)</f>
        <v>9.8800000000000008</v>
      </c>
      <c r="J146" s="2"/>
    </row>
    <row r="147" spans="1:10" x14ac:dyDescent="0.25">
      <c r="A147" s="8" t="s">
        <v>171</v>
      </c>
      <c r="B147" s="8" t="s">
        <v>172</v>
      </c>
      <c r="C147" s="8">
        <v>88309</v>
      </c>
      <c r="D147" s="16" t="s">
        <v>224</v>
      </c>
      <c r="E147" s="8" t="s">
        <v>176</v>
      </c>
      <c r="F147" s="36">
        <v>0.45</v>
      </c>
      <c r="G147" s="37">
        <v>19.14</v>
      </c>
      <c r="H147" s="38">
        <f t="shared" si="34"/>
        <v>19.14</v>
      </c>
      <c r="I147" s="39">
        <f t="shared" si="35"/>
        <v>8.61</v>
      </c>
      <c r="J147" s="2"/>
    </row>
    <row r="148" spans="1:10" x14ac:dyDescent="0.25">
      <c r="A148" s="8" t="s">
        <v>77</v>
      </c>
      <c r="B148" s="8" t="s">
        <v>179</v>
      </c>
      <c r="C148" s="8" t="s">
        <v>237</v>
      </c>
      <c r="D148" s="16" t="s">
        <v>238</v>
      </c>
      <c r="E148" s="8" t="s">
        <v>209</v>
      </c>
      <c r="F148" s="36">
        <v>3.6999999999999998E-2</v>
      </c>
      <c r="G148" s="37">
        <v>46</v>
      </c>
      <c r="H148" s="38">
        <f t="shared" si="34"/>
        <v>45.99</v>
      </c>
      <c r="I148" s="39">
        <f t="shared" si="35"/>
        <v>1.7</v>
      </c>
      <c r="J148" s="2"/>
    </row>
    <row r="149" spans="1:10" x14ac:dyDescent="0.25">
      <c r="A149" s="8" t="s">
        <v>77</v>
      </c>
      <c r="B149" s="8" t="s">
        <v>179</v>
      </c>
      <c r="C149" s="8" t="s">
        <v>239</v>
      </c>
      <c r="D149" s="16" t="s">
        <v>240</v>
      </c>
      <c r="E149" s="8" t="s">
        <v>241</v>
      </c>
      <c r="F149" s="36">
        <v>0.15</v>
      </c>
      <c r="G149" s="37">
        <v>28</v>
      </c>
      <c r="H149" s="38">
        <f t="shared" si="34"/>
        <v>27.99</v>
      </c>
      <c r="I149" s="39">
        <f t="shared" si="35"/>
        <v>4.1900000000000004</v>
      </c>
      <c r="J149" s="2"/>
    </row>
    <row r="150" spans="1:10" x14ac:dyDescent="0.25">
      <c r="A150" s="155" t="s">
        <v>173</v>
      </c>
      <c r="B150" s="155"/>
      <c r="C150" s="155"/>
      <c r="D150" s="155"/>
      <c r="E150" s="155"/>
      <c r="F150" s="155"/>
      <c r="G150" s="155"/>
      <c r="H150" s="155"/>
      <c r="I150" s="41">
        <f>SUM(I146:I149)</f>
        <v>24.380000000000003</v>
      </c>
      <c r="J150" s="2"/>
    </row>
    <row r="151" spans="1:10" x14ac:dyDescent="0.25">
      <c r="A151" s="148"/>
      <c r="B151" s="149"/>
      <c r="C151" s="149"/>
      <c r="D151" s="149"/>
      <c r="E151" s="149"/>
      <c r="F151" s="149"/>
      <c r="G151" s="149"/>
      <c r="H151" s="149"/>
      <c r="I151" s="150"/>
      <c r="J151" s="2"/>
    </row>
    <row r="152" spans="1:10" x14ac:dyDescent="0.25">
      <c r="A152" s="22" t="s">
        <v>161</v>
      </c>
      <c r="B152" s="151" t="s">
        <v>162</v>
      </c>
      <c r="C152" s="152"/>
      <c r="D152" s="152"/>
      <c r="E152" s="152"/>
      <c r="F152" s="152"/>
      <c r="G152" s="152"/>
      <c r="H152" s="153"/>
      <c r="I152" s="40" t="s">
        <v>163</v>
      </c>
      <c r="J152" s="2"/>
    </row>
    <row r="153" spans="1:10" ht="15" customHeight="1" x14ac:dyDescent="0.25">
      <c r="A153" s="26" t="s">
        <v>124</v>
      </c>
      <c r="B153" s="154" t="str">
        <f>VLOOKUP(A153,planilha!$B$7:$F$696,3,FALSE)</f>
        <v>Concreto simples c/ seixo e=5cm traço 1:2:3</v>
      </c>
      <c r="C153" s="154"/>
      <c r="D153" s="154"/>
      <c r="E153" s="154"/>
      <c r="F153" s="154"/>
      <c r="G153" s="154"/>
      <c r="H153" s="154"/>
      <c r="I153" s="27" t="str">
        <f>VLOOKUP(A153,planilha!$B$7:$F$696,5,FALSE)</f>
        <v>m²</v>
      </c>
      <c r="J153" s="28">
        <f>I160</f>
        <v>44.25</v>
      </c>
    </row>
    <row r="154" spans="1:10" x14ac:dyDescent="0.25">
      <c r="A154" s="29" t="s">
        <v>164</v>
      </c>
      <c r="B154" s="30" t="s">
        <v>165</v>
      </c>
      <c r="C154" s="31" t="s">
        <v>161</v>
      </c>
      <c r="D154" s="31" t="s">
        <v>166</v>
      </c>
      <c r="E154" s="31" t="s">
        <v>163</v>
      </c>
      <c r="F154" s="32" t="s">
        <v>167</v>
      </c>
      <c r="G154" s="33" t="s">
        <v>168</v>
      </c>
      <c r="H154" s="34" t="s">
        <v>169</v>
      </c>
      <c r="I154" s="35" t="s">
        <v>170</v>
      </c>
      <c r="J154" s="2"/>
    </row>
    <row r="155" spans="1:10" x14ac:dyDescent="0.25">
      <c r="A155" s="8" t="s">
        <v>171</v>
      </c>
      <c r="B155" s="8" t="s">
        <v>172</v>
      </c>
      <c r="C155" s="8">
        <v>88316</v>
      </c>
      <c r="D155" s="16" t="s">
        <v>177</v>
      </c>
      <c r="E155" s="8" t="s">
        <v>176</v>
      </c>
      <c r="F155" s="36">
        <v>0.77600000000000002</v>
      </c>
      <c r="G155" s="37">
        <v>15.12</v>
      </c>
      <c r="H155" s="38">
        <f t="shared" ref="H155:H159" si="36">IF(E155="H",G155,TRUNC(G155*(1-$K$5),2))</f>
        <v>15.12</v>
      </c>
      <c r="I155" s="39">
        <f t="shared" ref="I155:I159" si="37">TRUNC(H155*F155,2)</f>
        <v>11.73</v>
      </c>
      <c r="J155" s="2"/>
    </row>
    <row r="156" spans="1:10" x14ac:dyDescent="0.25">
      <c r="A156" s="8" t="s">
        <v>171</v>
      </c>
      <c r="B156" s="8" t="s">
        <v>172</v>
      </c>
      <c r="C156" s="8">
        <v>88309</v>
      </c>
      <c r="D156" s="16" t="s">
        <v>224</v>
      </c>
      <c r="E156" s="8" t="s">
        <v>176</v>
      </c>
      <c r="F156" s="36">
        <v>0.8</v>
      </c>
      <c r="G156" s="37">
        <v>19.14</v>
      </c>
      <c r="H156" s="38">
        <f t="shared" si="36"/>
        <v>19.14</v>
      </c>
      <c r="I156" s="39">
        <f t="shared" si="37"/>
        <v>15.31</v>
      </c>
      <c r="J156" s="2"/>
    </row>
    <row r="157" spans="1:10" x14ac:dyDescent="0.25">
      <c r="A157" s="8" t="s">
        <v>77</v>
      </c>
      <c r="B157" s="8" t="s">
        <v>179</v>
      </c>
      <c r="C157" s="8" t="s">
        <v>237</v>
      </c>
      <c r="D157" s="16" t="s">
        <v>238</v>
      </c>
      <c r="E157" s="8" t="s">
        <v>209</v>
      </c>
      <c r="F157" s="36">
        <v>0.04</v>
      </c>
      <c r="G157" s="37">
        <v>46</v>
      </c>
      <c r="H157" s="38">
        <f t="shared" si="36"/>
        <v>45.99</v>
      </c>
      <c r="I157" s="39">
        <f t="shared" si="37"/>
        <v>1.83</v>
      </c>
      <c r="J157" s="2"/>
    </row>
    <row r="158" spans="1:10" x14ac:dyDescent="0.25">
      <c r="A158" s="8" t="s">
        <v>77</v>
      </c>
      <c r="B158" s="8" t="s">
        <v>179</v>
      </c>
      <c r="C158" s="8" t="s">
        <v>239</v>
      </c>
      <c r="D158" s="16" t="s">
        <v>240</v>
      </c>
      <c r="E158" s="8" t="s">
        <v>241</v>
      </c>
      <c r="F158" s="36">
        <v>0.35</v>
      </c>
      <c r="G158" s="37">
        <v>28</v>
      </c>
      <c r="H158" s="38">
        <f t="shared" si="36"/>
        <v>27.99</v>
      </c>
      <c r="I158" s="39">
        <f t="shared" si="37"/>
        <v>9.7899999999999991</v>
      </c>
      <c r="J158" s="2"/>
    </row>
    <row r="159" spans="1:10" x14ac:dyDescent="0.25">
      <c r="A159" s="8" t="s">
        <v>77</v>
      </c>
      <c r="B159" s="8" t="s">
        <v>179</v>
      </c>
      <c r="C159" s="8" t="s">
        <v>242</v>
      </c>
      <c r="D159" s="16" t="s">
        <v>243</v>
      </c>
      <c r="E159" s="8" t="s">
        <v>209</v>
      </c>
      <c r="F159" s="36">
        <v>0.05</v>
      </c>
      <c r="G159" s="37">
        <v>112</v>
      </c>
      <c r="H159" s="38">
        <f t="shared" si="36"/>
        <v>111.98</v>
      </c>
      <c r="I159" s="39">
        <f t="shared" si="37"/>
        <v>5.59</v>
      </c>
      <c r="J159" s="2"/>
    </row>
    <row r="160" spans="1:10" x14ac:dyDescent="0.25">
      <c r="A160" s="155" t="s">
        <v>173</v>
      </c>
      <c r="B160" s="155"/>
      <c r="C160" s="155"/>
      <c r="D160" s="155"/>
      <c r="E160" s="155"/>
      <c r="F160" s="155"/>
      <c r="G160" s="155"/>
      <c r="H160" s="155"/>
      <c r="I160" s="41">
        <f>SUM(I155:I159)</f>
        <v>44.25</v>
      </c>
      <c r="J160" s="2"/>
    </row>
    <row r="161" spans="1:10" x14ac:dyDescent="0.25">
      <c r="A161" s="148"/>
      <c r="B161" s="149"/>
      <c r="C161" s="149"/>
      <c r="D161" s="149"/>
      <c r="E161" s="149"/>
      <c r="F161" s="149"/>
      <c r="G161" s="149"/>
      <c r="H161" s="149"/>
      <c r="I161" s="150"/>
      <c r="J161" s="2"/>
    </row>
    <row r="162" spans="1:10" x14ac:dyDescent="0.25">
      <c r="A162" s="22" t="s">
        <v>161</v>
      </c>
      <c r="B162" s="151" t="s">
        <v>162</v>
      </c>
      <c r="C162" s="152"/>
      <c r="D162" s="152"/>
      <c r="E162" s="152"/>
      <c r="F162" s="152"/>
      <c r="G162" s="152"/>
      <c r="H162" s="153"/>
      <c r="I162" s="40" t="s">
        <v>163</v>
      </c>
      <c r="J162" s="2"/>
    </row>
    <row r="163" spans="1:10" x14ac:dyDescent="0.25">
      <c r="A163" s="26" t="str">
        <f>planilha!B34</f>
        <v>130113</v>
      </c>
      <c r="B163" s="154" t="str">
        <f>VLOOKUP(A163,planilha!$B$7:$F$696,3,FALSE)</f>
        <v>Cimentado liso e=2cm traço 1:3</v>
      </c>
      <c r="C163" s="154"/>
      <c r="D163" s="154"/>
      <c r="E163" s="154"/>
      <c r="F163" s="154"/>
      <c r="G163" s="154"/>
      <c r="H163" s="154"/>
      <c r="I163" s="27" t="str">
        <f>VLOOKUP(A163,planilha!$B$7:$F$696,5,FALSE)</f>
        <v>m²</v>
      </c>
      <c r="J163" s="28">
        <f>I169</f>
        <v>33.630000000000003</v>
      </c>
    </row>
    <row r="164" spans="1:10" x14ac:dyDescent="0.25">
      <c r="A164" s="29" t="s">
        <v>164</v>
      </c>
      <c r="B164" s="30" t="s">
        <v>165</v>
      </c>
      <c r="C164" s="31" t="s">
        <v>161</v>
      </c>
      <c r="D164" s="31" t="s">
        <v>166</v>
      </c>
      <c r="E164" s="31" t="s">
        <v>163</v>
      </c>
      <c r="F164" s="32" t="s">
        <v>167</v>
      </c>
      <c r="G164" s="33" t="s">
        <v>168</v>
      </c>
      <c r="H164" s="34" t="s">
        <v>169</v>
      </c>
      <c r="I164" s="35" t="s">
        <v>170</v>
      </c>
      <c r="J164" s="2"/>
    </row>
    <row r="165" spans="1:10" x14ac:dyDescent="0.25">
      <c r="A165" s="8" t="s">
        <v>171</v>
      </c>
      <c r="B165" s="8" t="s">
        <v>172</v>
      </c>
      <c r="C165" s="8">
        <v>88316</v>
      </c>
      <c r="D165" s="16" t="s">
        <v>177</v>
      </c>
      <c r="E165" s="8" t="s">
        <v>176</v>
      </c>
      <c r="F165" s="36">
        <v>0.8</v>
      </c>
      <c r="G165" s="37">
        <v>15.12</v>
      </c>
      <c r="H165" s="38">
        <f t="shared" ref="H165:H168" si="38">IF(E165="H",G165,TRUNC(G165*(1-$K$5),2))</f>
        <v>15.12</v>
      </c>
      <c r="I165" s="39">
        <f t="shared" ref="I165:I168" si="39">TRUNC(H165*F165,2)</f>
        <v>12.09</v>
      </c>
      <c r="J165" s="2"/>
    </row>
    <row r="166" spans="1:10" x14ac:dyDescent="0.25">
      <c r="A166" s="8" t="s">
        <v>171</v>
      </c>
      <c r="B166" s="8" t="s">
        <v>172</v>
      </c>
      <c r="C166" s="8">
        <v>88309</v>
      </c>
      <c r="D166" s="16" t="s">
        <v>224</v>
      </c>
      <c r="E166" s="8" t="s">
        <v>176</v>
      </c>
      <c r="F166" s="36">
        <v>0.78100000000000003</v>
      </c>
      <c r="G166" s="37">
        <v>19.14</v>
      </c>
      <c r="H166" s="38">
        <f t="shared" si="38"/>
        <v>19.14</v>
      </c>
      <c r="I166" s="39">
        <f t="shared" si="39"/>
        <v>14.94</v>
      </c>
      <c r="J166" s="2"/>
    </row>
    <row r="167" spans="1:10" x14ac:dyDescent="0.25">
      <c r="A167" s="8" t="s">
        <v>77</v>
      </c>
      <c r="B167" s="8" t="s">
        <v>179</v>
      </c>
      <c r="C167" s="8" t="s">
        <v>237</v>
      </c>
      <c r="D167" s="16" t="s">
        <v>238</v>
      </c>
      <c r="E167" s="8" t="s">
        <v>209</v>
      </c>
      <c r="F167" s="36">
        <v>2.1999999999999999E-2</v>
      </c>
      <c r="G167" s="37">
        <v>46</v>
      </c>
      <c r="H167" s="38">
        <f t="shared" si="38"/>
        <v>45.99</v>
      </c>
      <c r="I167" s="39">
        <f t="shared" si="39"/>
        <v>1.01</v>
      </c>
      <c r="J167" s="2"/>
    </row>
    <row r="168" spans="1:10" x14ac:dyDescent="0.25">
      <c r="A168" s="8" t="s">
        <v>77</v>
      </c>
      <c r="B168" s="8" t="s">
        <v>179</v>
      </c>
      <c r="C168" s="8" t="s">
        <v>239</v>
      </c>
      <c r="D168" s="16" t="s">
        <v>240</v>
      </c>
      <c r="E168" s="8" t="s">
        <v>241</v>
      </c>
      <c r="F168" s="36">
        <v>0.2</v>
      </c>
      <c r="G168" s="37">
        <v>28</v>
      </c>
      <c r="H168" s="38">
        <f t="shared" si="38"/>
        <v>27.99</v>
      </c>
      <c r="I168" s="39">
        <f t="shared" si="39"/>
        <v>5.59</v>
      </c>
      <c r="J168" s="2"/>
    </row>
    <row r="169" spans="1:10" x14ac:dyDescent="0.25">
      <c r="A169" s="155" t="s">
        <v>173</v>
      </c>
      <c r="B169" s="155"/>
      <c r="C169" s="155"/>
      <c r="D169" s="155"/>
      <c r="E169" s="155"/>
      <c r="F169" s="155"/>
      <c r="G169" s="155"/>
      <c r="H169" s="155"/>
      <c r="I169" s="41">
        <f>SUM(I165:I168)</f>
        <v>33.630000000000003</v>
      </c>
      <c r="J169" s="2"/>
    </row>
    <row r="170" spans="1:10" x14ac:dyDescent="0.25">
      <c r="A170" s="148"/>
      <c r="B170" s="149"/>
      <c r="C170" s="149"/>
      <c r="D170" s="149"/>
      <c r="E170" s="149"/>
      <c r="F170" s="149"/>
      <c r="G170" s="149"/>
      <c r="H170" s="149"/>
      <c r="I170" s="150"/>
      <c r="J170" s="2"/>
    </row>
    <row r="171" spans="1:10" x14ac:dyDescent="0.25">
      <c r="A171" s="22" t="s">
        <v>161</v>
      </c>
      <c r="B171" s="151" t="s">
        <v>162</v>
      </c>
      <c r="C171" s="152"/>
      <c r="D171" s="152"/>
      <c r="E171" s="152"/>
      <c r="F171" s="152"/>
      <c r="G171" s="152"/>
      <c r="H171" s="153"/>
      <c r="I171" s="40" t="s">
        <v>163</v>
      </c>
      <c r="J171" s="2"/>
    </row>
    <row r="172" spans="1:10" ht="15" customHeight="1" x14ac:dyDescent="0.25">
      <c r="A172" s="26" t="s">
        <v>126</v>
      </c>
      <c r="B172" s="154" t="str">
        <f>VLOOKUP(A172,planilha!$B$7:$F$696,3,FALSE)</f>
        <v>Lajota ceramica - PEI IV - (Padrão Médio)</v>
      </c>
      <c r="C172" s="154"/>
      <c r="D172" s="154"/>
      <c r="E172" s="154"/>
      <c r="F172" s="154"/>
      <c r="G172" s="154"/>
      <c r="H172" s="154"/>
      <c r="I172" s="27" t="str">
        <f>VLOOKUP(A172,planilha!$B$7:$F$696,5,FALSE)</f>
        <v>m²</v>
      </c>
      <c r="J172" s="28">
        <f>I179</f>
        <v>67.75</v>
      </c>
    </row>
    <row r="173" spans="1:10" x14ac:dyDescent="0.25">
      <c r="A173" s="29" t="s">
        <v>164</v>
      </c>
      <c r="B173" s="30" t="s">
        <v>165</v>
      </c>
      <c r="C173" s="31" t="s">
        <v>161</v>
      </c>
      <c r="D173" s="31" t="s">
        <v>166</v>
      </c>
      <c r="E173" s="31" t="s">
        <v>163</v>
      </c>
      <c r="F173" s="32" t="s">
        <v>167</v>
      </c>
      <c r="G173" s="33" t="s">
        <v>168</v>
      </c>
      <c r="H173" s="34" t="s">
        <v>169</v>
      </c>
      <c r="I173" s="35" t="s">
        <v>170</v>
      </c>
      <c r="J173" s="2"/>
    </row>
    <row r="174" spans="1:10" x14ac:dyDescent="0.25">
      <c r="A174" s="8" t="s">
        <v>171</v>
      </c>
      <c r="B174" s="8" t="s">
        <v>172</v>
      </c>
      <c r="C174" s="8">
        <v>88316</v>
      </c>
      <c r="D174" s="16" t="s">
        <v>177</v>
      </c>
      <c r="E174" s="8" t="s">
        <v>176</v>
      </c>
      <c r="F174" s="36">
        <v>0.6</v>
      </c>
      <c r="G174" s="37">
        <v>15.12</v>
      </c>
      <c r="H174" s="38">
        <f t="shared" ref="H174:H178" si="40">IF(E174="H",G174,TRUNC(G174*(1-$K$5),2))</f>
        <v>15.12</v>
      </c>
      <c r="I174" s="39">
        <f t="shared" ref="I174:I178" si="41">TRUNC(H174*F174,2)</f>
        <v>9.07</v>
      </c>
      <c r="J174" s="2"/>
    </row>
    <row r="175" spans="1:10" x14ac:dyDescent="0.25">
      <c r="A175" s="8" t="s">
        <v>171</v>
      </c>
      <c r="B175" s="8" t="s">
        <v>172</v>
      </c>
      <c r="C175" s="8">
        <v>88309</v>
      </c>
      <c r="D175" s="16" t="s">
        <v>224</v>
      </c>
      <c r="E175" s="8" t="s">
        <v>176</v>
      </c>
      <c r="F175" s="36">
        <v>0.86599999999999999</v>
      </c>
      <c r="G175" s="37">
        <v>19.14</v>
      </c>
      <c r="H175" s="38">
        <f t="shared" si="40"/>
        <v>19.14</v>
      </c>
      <c r="I175" s="39">
        <f t="shared" si="41"/>
        <v>16.57</v>
      </c>
      <c r="J175" s="2"/>
    </row>
    <row r="176" spans="1:10" x14ac:dyDescent="0.25">
      <c r="A176" s="8" t="s">
        <v>77</v>
      </c>
      <c r="B176" s="8" t="s">
        <v>179</v>
      </c>
      <c r="C176" s="8" t="s">
        <v>244</v>
      </c>
      <c r="D176" s="16" t="s">
        <v>127</v>
      </c>
      <c r="E176" s="8" t="s">
        <v>218</v>
      </c>
      <c r="F176" s="36">
        <v>1.05</v>
      </c>
      <c r="G176" s="37">
        <v>31.4</v>
      </c>
      <c r="H176" s="38">
        <f t="shared" si="40"/>
        <v>31.39</v>
      </c>
      <c r="I176" s="39">
        <f t="shared" si="41"/>
        <v>32.950000000000003</v>
      </c>
      <c r="J176" s="2"/>
    </row>
    <row r="177" spans="1:10" x14ac:dyDescent="0.25">
      <c r="A177" s="8" t="s">
        <v>77</v>
      </c>
      <c r="B177" s="8" t="s">
        <v>179</v>
      </c>
      <c r="C177" s="8" t="s">
        <v>227</v>
      </c>
      <c r="D177" s="16" t="s">
        <v>228</v>
      </c>
      <c r="E177" s="8" t="s">
        <v>182</v>
      </c>
      <c r="F177" s="36">
        <v>5</v>
      </c>
      <c r="G177" s="37">
        <v>0.61</v>
      </c>
      <c r="H177" s="38">
        <f t="shared" si="40"/>
        <v>0.6</v>
      </c>
      <c r="I177" s="39">
        <f t="shared" si="41"/>
        <v>3</v>
      </c>
      <c r="J177" s="2"/>
    </row>
    <row r="178" spans="1:10" x14ac:dyDescent="0.25">
      <c r="A178" s="8" t="s">
        <v>77</v>
      </c>
      <c r="B178" s="8" t="s">
        <v>179</v>
      </c>
      <c r="C178" s="8" t="s">
        <v>229</v>
      </c>
      <c r="D178" s="16" t="s">
        <v>245</v>
      </c>
      <c r="E178" s="8" t="s">
        <v>182</v>
      </c>
      <c r="F178" s="36">
        <v>1.2</v>
      </c>
      <c r="G178" s="37">
        <v>5.15</v>
      </c>
      <c r="H178" s="38">
        <f t="shared" si="40"/>
        <v>5.14</v>
      </c>
      <c r="I178" s="39">
        <f t="shared" si="41"/>
        <v>6.16</v>
      </c>
      <c r="J178" s="2"/>
    </row>
    <row r="179" spans="1:10" x14ac:dyDescent="0.25">
      <c r="A179" s="155" t="s">
        <v>173</v>
      </c>
      <c r="B179" s="155"/>
      <c r="C179" s="155"/>
      <c r="D179" s="155"/>
      <c r="E179" s="155"/>
      <c r="F179" s="155"/>
      <c r="G179" s="155"/>
      <c r="H179" s="155"/>
      <c r="I179" s="41">
        <f>SUM(I174:I178)</f>
        <v>67.75</v>
      </c>
      <c r="J179" s="2"/>
    </row>
    <row r="180" spans="1:10" x14ac:dyDescent="0.25">
      <c r="A180" s="148"/>
      <c r="B180" s="149"/>
      <c r="C180" s="149"/>
      <c r="D180" s="149"/>
      <c r="E180" s="149"/>
      <c r="F180" s="149"/>
      <c r="G180" s="149"/>
      <c r="H180" s="149"/>
      <c r="I180" s="150"/>
      <c r="J180" s="2"/>
    </row>
    <row r="181" spans="1:10" x14ac:dyDescent="0.25">
      <c r="A181" s="22" t="s">
        <v>161</v>
      </c>
      <c r="B181" s="151" t="s">
        <v>162</v>
      </c>
      <c r="C181" s="152"/>
      <c r="D181" s="152"/>
      <c r="E181" s="152"/>
      <c r="F181" s="152"/>
      <c r="G181" s="152"/>
      <c r="H181" s="153"/>
      <c r="I181" s="40" t="s">
        <v>163</v>
      </c>
      <c r="J181" s="2"/>
    </row>
    <row r="182" spans="1:10" ht="15" customHeight="1" x14ac:dyDescent="0.25">
      <c r="A182" s="26" t="s">
        <v>51</v>
      </c>
      <c r="B182" s="154" t="str">
        <f>VLOOKUP(A182,planilha!$B$7:$F$696,3,FALSE)</f>
        <v>Acrilica fosca int./ext. c/massa e selador - 3 demaos</v>
      </c>
      <c r="C182" s="154"/>
      <c r="D182" s="154"/>
      <c r="E182" s="154"/>
      <c r="F182" s="154"/>
      <c r="G182" s="154"/>
      <c r="H182" s="154"/>
      <c r="I182" s="27" t="str">
        <f>VLOOKUP(A182,planilha!$B$7:$F$696,5,FALSE)</f>
        <v>m²</v>
      </c>
      <c r="J182" s="28">
        <f>I190</f>
        <v>28.93</v>
      </c>
    </row>
    <row r="183" spans="1:10" x14ac:dyDescent="0.25">
      <c r="A183" s="29" t="s">
        <v>164</v>
      </c>
      <c r="B183" s="30" t="s">
        <v>165</v>
      </c>
      <c r="C183" s="31" t="s">
        <v>161</v>
      </c>
      <c r="D183" s="31" t="s">
        <v>166</v>
      </c>
      <c r="E183" s="31" t="s">
        <v>163</v>
      </c>
      <c r="F183" s="32" t="s">
        <v>167</v>
      </c>
      <c r="G183" s="33" t="s">
        <v>168</v>
      </c>
      <c r="H183" s="34" t="s">
        <v>169</v>
      </c>
      <c r="I183" s="35" t="s">
        <v>170</v>
      </c>
      <c r="J183" s="2"/>
    </row>
    <row r="184" spans="1:10" x14ac:dyDescent="0.25">
      <c r="A184" s="8" t="s">
        <v>171</v>
      </c>
      <c r="B184" s="8" t="s">
        <v>172</v>
      </c>
      <c r="C184" s="8">
        <v>88316</v>
      </c>
      <c r="D184" s="16" t="s">
        <v>177</v>
      </c>
      <c r="E184" s="8" t="s">
        <v>176</v>
      </c>
      <c r="F184" s="36">
        <v>0.4</v>
      </c>
      <c r="G184" s="37">
        <v>15.12</v>
      </c>
      <c r="H184" s="38">
        <f t="shared" ref="H184:H189" si="42">IF(E184="H",G184,TRUNC(G184*(1-$K$5),2))</f>
        <v>15.12</v>
      </c>
      <c r="I184" s="39">
        <f t="shared" ref="I184:I189" si="43">TRUNC(H184*F184,2)</f>
        <v>6.04</v>
      </c>
      <c r="J184" s="2"/>
    </row>
    <row r="185" spans="1:10" x14ac:dyDescent="0.25">
      <c r="A185" s="8" t="s">
        <v>171</v>
      </c>
      <c r="B185" s="8" t="s">
        <v>172</v>
      </c>
      <c r="C185" s="8">
        <v>88310</v>
      </c>
      <c r="D185" s="16" t="s">
        <v>178</v>
      </c>
      <c r="E185" s="8" t="s">
        <v>176</v>
      </c>
      <c r="F185" s="36">
        <v>0.58799999999999997</v>
      </c>
      <c r="G185" s="37">
        <v>19.059999999999999</v>
      </c>
      <c r="H185" s="38">
        <f t="shared" si="42"/>
        <v>19.059999999999999</v>
      </c>
      <c r="I185" s="39">
        <f t="shared" si="43"/>
        <v>11.2</v>
      </c>
      <c r="J185" s="2"/>
    </row>
    <row r="186" spans="1:10" x14ac:dyDescent="0.25">
      <c r="A186" s="8" t="s">
        <v>77</v>
      </c>
      <c r="B186" s="8" t="s">
        <v>179</v>
      </c>
      <c r="C186" s="8" t="s">
        <v>246</v>
      </c>
      <c r="D186" s="16" t="s">
        <v>247</v>
      </c>
      <c r="E186" s="8" t="s">
        <v>163</v>
      </c>
      <c r="F186" s="36">
        <v>0.5</v>
      </c>
      <c r="G186" s="37">
        <v>0.7</v>
      </c>
      <c r="H186" s="38">
        <f t="shared" si="42"/>
        <v>0.69</v>
      </c>
      <c r="I186" s="39">
        <f t="shared" si="43"/>
        <v>0.34</v>
      </c>
      <c r="J186" s="2"/>
    </row>
    <row r="187" spans="1:10" x14ac:dyDescent="0.25">
      <c r="A187" s="8" t="s">
        <v>77</v>
      </c>
      <c r="B187" s="8" t="s">
        <v>179</v>
      </c>
      <c r="C187" s="8" t="s">
        <v>248</v>
      </c>
      <c r="D187" s="16" t="s">
        <v>249</v>
      </c>
      <c r="E187" s="8" t="s">
        <v>193</v>
      </c>
      <c r="F187" s="36">
        <v>0.11</v>
      </c>
      <c r="G187" s="37">
        <v>35.9</v>
      </c>
      <c r="H187" s="38">
        <f t="shared" si="42"/>
        <v>35.89</v>
      </c>
      <c r="I187" s="39">
        <f t="shared" si="43"/>
        <v>3.94</v>
      </c>
      <c r="J187" s="2"/>
    </row>
    <row r="188" spans="1:10" x14ac:dyDescent="0.25">
      <c r="A188" s="8" t="s">
        <v>77</v>
      </c>
      <c r="B188" s="8" t="s">
        <v>179</v>
      </c>
      <c r="C188" s="8" t="s">
        <v>250</v>
      </c>
      <c r="D188" s="16" t="s">
        <v>251</v>
      </c>
      <c r="E188" s="8" t="s">
        <v>193</v>
      </c>
      <c r="F188" s="36">
        <v>0.08</v>
      </c>
      <c r="G188" s="37">
        <v>74.7</v>
      </c>
      <c r="H188" s="38">
        <f t="shared" si="42"/>
        <v>74.69</v>
      </c>
      <c r="I188" s="39">
        <f t="shared" si="43"/>
        <v>5.97</v>
      </c>
      <c r="J188" s="2"/>
    </row>
    <row r="189" spans="1:10" x14ac:dyDescent="0.25">
      <c r="A189" s="8" t="s">
        <v>77</v>
      </c>
      <c r="B189" s="8" t="s">
        <v>179</v>
      </c>
      <c r="C189" s="8" t="s">
        <v>252</v>
      </c>
      <c r="D189" s="16" t="s">
        <v>253</v>
      </c>
      <c r="E189" s="8" t="s">
        <v>193</v>
      </c>
      <c r="F189" s="36">
        <v>0.05</v>
      </c>
      <c r="G189" s="37">
        <v>28.9</v>
      </c>
      <c r="H189" s="38">
        <f t="shared" si="42"/>
        <v>28.89</v>
      </c>
      <c r="I189" s="39">
        <f t="shared" si="43"/>
        <v>1.44</v>
      </c>
      <c r="J189" s="2"/>
    </row>
    <row r="190" spans="1:10" x14ac:dyDescent="0.25">
      <c r="A190" s="155" t="s">
        <v>173</v>
      </c>
      <c r="B190" s="155"/>
      <c r="C190" s="155"/>
      <c r="D190" s="155"/>
      <c r="E190" s="155"/>
      <c r="F190" s="155"/>
      <c r="G190" s="155"/>
      <c r="H190" s="155"/>
      <c r="I190" s="41">
        <f>SUM(I184:I189)</f>
        <v>28.93</v>
      </c>
      <c r="J190" s="2"/>
    </row>
    <row r="191" spans="1:10" x14ac:dyDescent="0.25">
      <c r="A191" s="148"/>
      <c r="B191" s="149"/>
      <c r="C191" s="149"/>
      <c r="D191" s="149"/>
      <c r="E191" s="149"/>
      <c r="F191" s="149"/>
      <c r="G191" s="149"/>
      <c r="H191" s="149"/>
      <c r="I191" s="150"/>
      <c r="J191" s="2"/>
    </row>
    <row r="192" spans="1:10" x14ac:dyDescent="0.25">
      <c r="A192" s="22" t="s">
        <v>161</v>
      </c>
      <c r="B192" s="151" t="s">
        <v>162</v>
      </c>
      <c r="C192" s="152"/>
      <c r="D192" s="152"/>
      <c r="E192" s="152"/>
      <c r="F192" s="152"/>
      <c r="G192" s="152"/>
      <c r="H192" s="153"/>
      <c r="I192" s="40" t="s">
        <v>163</v>
      </c>
      <c r="J192" s="2"/>
    </row>
    <row r="193" spans="1:10" x14ac:dyDescent="0.25">
      <c r="A193" s="26" t="str">
        <f>planilha!B40</f>
        <v>150207</v>
      </c>
      <c r="B193" s="154" t="str">
        <f>VLOOKUP(A193,planilha!$B$7:$F$696,3,FALSE)</f>
        <v>Acrílica para piso</v>
      </c>
      <c r="C193" s="154"/>
      <c r="D193" s="154"/>
      <c r="E193" s="154"/>
      <c r="F193" s="154"/>
      <c r="G193" s="154"/>
      <c r="H193" s="154"/>
      <c r="I193" s="27" t="str">
        <f>VLOOKUP(A193,planilha!$B$7:$F$696,5,FALSE)</f>
        <v>m²</v>
      </c>
      <c r="J193" s="28">
        <f>I199</f>
        <v>12.9</v>
      </c>
    </row>
    <row r="194" spans="1:10" x14ac:dyDescent="0.25">
      <c r="A194" s="29" t="s">
        <v>164</v>
      </c>
      <c r="B194" s="30" t="s">
        <v>165</v>
      </c>
      <c r="C194" s="31" t="s">
        <v>161</v>
      </c>
      <c r="D194" s="31" t="s">
        <v>166</v>
      </c>
      <c r="E194" s="31" t="s">
        <v>163</v>
      </c>
      <c r="F194" s="32" t="s">
        <v>167</v>
      </c>
      <c r="G194" s="33" t="s">
        <v>168</v>
      </c>
      <c r="H194" s="34" t="s">
        <v>169</v>
      </c>
      <c r="I194" s="35" t="s">
        <v>170</v>
      </c>
      <c r="J194" s="2"/>
    </row>
    <row r="195" spans="1:10" x14ac:dyDescent="0.25">
      <c r="A195" s="8" t="s">
        <v>171</v>
      </c>
      <c r="B195" s="8" t="s">
        <v>172</v>
      </c>
      <c r="C195" s="8">
        <v>88316</v>
      </c>
      <c r="D195" s="16" t="s">
        <v>177</v>
      </c>
      <c r="E195" s="8" t="s">
        <v>176</v>
      </c>
      <c r="F195" s="36">
        <v>0.35</v>
      </c>
      <c r="G195" s="37">
        <v>15.12</v>
      </c>
      <c r="H195" s="38">
        <f t="shared" ref="H195:H198" si="44">IF(E195="H",G195,TRUNC(G195*(1-$K$5),2))</f>
        <v>15.12</v>
      </c>
      <c r="I195" s="39">
        <f t="shared" ref="I195:I198" si="45">TRUNC(H195*F195,2)</f>
        <v>5.29</v>
      </c>
      <c r="J195" s="2"/>
    </row>
    <row r="196" spans="1:10" x14ac:dyDescent="0.25">
      <c r="A196" s="8" t="s">
        <v>171</v>
      </c>
      <c r="B196" s="8" t="s">
        <v>172</v>
      </c>
      <c r="C196" s="8">
        <v>88310</v>
      </c>
      <c r="D196" s="16" t="s">
        <v>178</v>
      </c>
      <c r="E196" s="8" t="s">
        <v>176</v>
      </c>
      <c r="F196" s="36">
        <v>0.23200000000000001</v>
      </c>
      <c r="G196" s="37">
        <v>19.059999999999999</v>
      </c>
      <c r="H196" s="38">
        <f t="shared" si="44"/>
        <v>19.059999999999999</v>
      </c>
      <c r="I196" s="39">
        <f t="shared" si="45"/>
        <v>4.42</v>
      </c>
      <c r="J196" s="2"/>
    </row>
    <row r="197" spans="1:10" x14ac:dyDescent="0.25">
      <c r="A197" s="8" t="s">
        <v>77</v>
      </c>
      <c r="B197" s="8" t="s">
        <v>179</v>
      </c>
      <c r="C197" s="8" t="s">
        <v>254</v>
      </c>
      <c r="D197" s="16" t="s">
        <v>120</v>
      </c>
      <c r="E197" s="8" t="s">
        <v>193</v>
      </c>
      <c r="F197" s="36">
        <v>0.05</v>
      </c>
      <c r="G197" s="37">
        <v>50.9</v>
      </c>
      <c r="H197" s="38">
        <f t="shared" si="44"/>
        <v>50.89</v>
      </c>
      <c r="I197" s="39">
        <f t="shared" si="45"/>
        <v>2.54</v>
      </c>
      <c r="J197" s="2"/>
    </row>
    <row r="198" spans="1:10" x14ac:dyDescent="0.25">
      <c r="A198" s="8" t="s">
        <v>77</v>
      </c>
      <c r="B198" s="8" t="s">
        <v>179</v>
      </c>
      <c r="C198" s="8" t="s">
        <v>255</v>
      </c>
      <c r="D198" s="16" t="s">
        <v>256</v>
      </c>
      <c r="E198" s="8" t="s">
        <v>193</v>
      </c>
      <c r="F198" s="36">
        <v>1.4999999999999999E-2</v>
      </c>
      <c r="G198" s="37">
        <v>43.95</v>
      </c>
      <c r="H198" s="38">
        <f t="shared" si="44"/>
        <v>43.94</v>
      </c>
      <c r="I198" s="39">
        <f t="shared" si="45"/>
        <v>0.65</v>
      </c>
      <c r="J198" s="2"/>
    </row>
    <row r="199" spans="1:10" x14ac:dyDescent="0.25">
      <c r="A199" s="155" t="s">
        <v>173</v>
      </c>
      <c r="B199" s="155"/>
      <c r="C199" s="155"/>
      <c r="D199" s="155"/>
      <c r="E199" s="155"/>
      <c r="F199" s="155"/>
      <c r="G199" s="155"/>
      <c r="H199" s="155"/>
      <c r="I199" s="41">
        <f>SUM(I195:I198)</f>
        <v>12.9</v>
      </c>
      <c r="J199" s="2"/>
    </row>
    <row r="200" spans="1:10" x14ac:dyDescent="0.25">
      <c r="A200" s="148"/>
      <c r="B200" s="149"/>
      <c r="C200" s="149"/>
      <c r="D200" s="149"/>
      <c r="E200" s="149"/>
      <c r="F200" s="149"/>
      <c r="G200" s="149"/>
      <c r="H200" s="149"/>
      <c r="I200" s="150"/>
      <c r="J200" s="2"/>
    </row>
    <row r="201" spans="1:10" x14ac:dyDescent="0.25">
      <c r="A201" s="22" t="s">
        <v>161</v>
      </c>
      <c r="B201" s="151" t="s">
        <v>162</v>
      </c>
      <c r="C201" s="152"/>
      <c r="D201" s="152"/>
      <c r="E201" s="152"/>
      <c r="F201" s="152"/>
      <c r="G201" s="152"/>
      <c r="H201" s="153"/>
      <c r="I201" s="40" t="s">
        <v>163</v>
      </c>
      <c r="J201" s="2"/>
    </row>
    <row r="202" spans="1:10" ht="15" customHeight="1" x14ac:dyDescent="0.25">
      <c r="A202" s="26" t="s">
        <v>62</v>
      </c>
      <c r="B202" s="154" t="str">
        <f>VLOOKUP(A202,planilha!$B$7:$F$696,3,FALSE)</f>
        <v>Revisão de ponto de esgoto</v>
      </c>
      <c r="C202" s="154"/>
      <c r="D202" s="154"/>
      <c r="E202" s="154"/>
      <c r="F202" s="154"/>
      <c r="G202" s="154"/>
      <c r="H202" s="154"/>
      <c r="I202" s="27" t="str">
        <f>VLOOKUP(A202,planilha!$B$7:$F$696,5,FALSE)</f>
        <v>Pt</v>
      </c>
      <c r="J202" s="28">
        <f>I205</f>
        <v>104.81</v>
      </c>
    </row>
    <row r="203" spans="1:10" x14ac:dyDescent="0.25">
      <c r="A203" s="29" t="s">
        <v>164</v>
      </c>
      <c r="B203" s="30" t="s">
        <v>165</v>
      </c>
      <c r="C203" s="31" t="s">
        <v>161</v>
      </c>
      <c r="D203" s="31" t="s">
        <v>166</v>
      </c>
      <c r="E203" s="31" t="s">
        <v>163</v>
      </c>
      <c r="F203" s="32" t="s">
        <v>167</v>
      </c>
      <c r="G203" s="33" t="s">
        <v>168</v>
      </c>
      <c r="H203" s="34" t="s">
        <v>169</v>
      </c>
      <c r="I203" s="35" t="s">
        <v>170</v>
      </c>
      <c r="J203" s="2"/>
    </row>
    <row r="204" spans="1:10" x14ac:dyDescent="0.25">
      <c r="A204" s="8" t="s">
        <v>77</v>
      </c>
      <c r="B204" s="8" t="s">
        <v>172</v>
      </c>
      <c r="C204" s="8">
        <v>180214</v>
      </c>
      <c r="D204" s="16" t="s">
        <v>257</v>
      </c>
      <c r="E204" s="8" t="s">
        <v>258</v>
      </c>
      <c r="F204" s="36">
        <v>0.40089999999999998</v>
      </c>
      <c r="G204" s="37">
        <v>261.49</v>
      </c>
      <c r="H204" s="38">
        <f t="shared" ref="H204" si="46">IF(E204="H",G204,TRUNC(G204*(1-$K$5),2))</f>
        <v>261.45999999999998</v>
      </c>
      <c r="I204" s="39">
        <f t="shared" ref="I204" si="47">TRUNC(H204*F204,2)</f>
        <v>104.81</v>
      </c>
      <c r="J204" s="2"/>
    </row>
    <row r="205" spans="1:10" x14ac:dyDescent="0.25">
      <c r="A205" s="155" t="s">
        <v>173</v>
      </c>
      <c r="B205" s="155"/>
      <c r="C205" s="155"/>
      <c r="D205" s="155"/>
      <c r="E205" s="155"/>
      <c r="F205" s="155"/>
      <c r="G205" s="155"/>
      <c r="H205" s="155"/>
      <c r="I205" s="41">
        <f>SUM(I204:I204)</f>
        <v>104.81</v>
      </c>
      <c r="J205" s="2"/>
    </row>
    <row r="206" spans="1:10" x14ac:dyDescent="0.25">
      <c r="A206" s="148"/>
      <c r="B206" s="149"/>
      <c r="C206" s="149"/>
      <c r="D206" s="149"/>
      <c r="E206" s="149"/>
      <c r="F206" s="149"/>
      <c r="G206" s="149"/>
      <c r="H206" s="149"/>
      <c r="I206" s="150"/>
      <c r="J206" s="2"/>
    </row>
    <row r="207" spans="1:10" x14ac:dyDescent="0.25">
      <c r="A207" s="22" t="s">
        <v>161</v>
      </c>
      <c r="B207" s="151" t="s">
        <v>162</v>
      </c>
      <c r="C207" s="152"/>
      <c r="D207" s="152"/>
      <c r="E207" s="152"/>
      <c r="F207" s="152"/>
      <c r="G207" s="152"/>
      <c r="H207" s="153"/>
      <c r="I207" s="40" t="s">
        <v>163</v>
      </c>
      <c r="J207" s="2"/>
    </row>
    <row r="208" spans="1:10" ht="15" customHeight="1" x14ac:dyDescent="0.25">
      <c r="A208" s="26" t="s">
        <v>61</v>
      </c>
      <c r="B208" s="154" t="str">
        <f>VLOOKUP(A208,planilha!$B$7:$F$696,3,FALSE)</f>
        <v>Revisão de ponto de água</v>
      </c>
      <c r="C208" s="154"/>
      <c r="D208" s="154"/>
      <c r="E208" s="154"/>
      <c r="F208" s="154"/>
      <c r="G208" s="154"/>
      <c r="H208" s="154"/>
      <c r="I208" s="27" t="str">
        <f>VLOOKUP(A208,planilha!$B$7:$F$696,5,FALSE)</f>
        <v>Pt</v>
      </c>
      <c r="J208" s="28">
        <f>I211</f>
        <v>86.22</v>
      </c>
    </row>
    <row r="209" spans="1:10" x14ac:dyDescent="0.25">
      <c r="A209" s="29" t="s">
        <v>164</v>
      </c>
      <c r="B209" s="30" t="s">
        <v>165</v>
      </c>
      <c r="C209" s="31" t="s">
        <v>161</v>
      </c>
      <c r="D209" s="31" t="s">
        <v>166</v>
      </c>
      <c r="E209" s="31" t="s">
        <v>163</v>
      </c>
      <c r="F209" s="32" t="s">
        <v>167</v>
      </c>
      <c r="G209" s="33" t="s">
        <v>168</v>
      </c>
      <c r="H209" s="34" t="s">
        <v>169</v>
      </c>
      <c r="I209" s="35" t="s">
        <v>170</v>
      </c>
      <c r="J209" s="2"/>
    </row>
    <row r="210" spans="1:10" x14ac:dyDescent="0.25">
      <c r="A210" s="8" t="s">
        <v>77</v>
      </c>
      <c r="B210" s="8" t="s">
        <v>172</v>
      </c>
      <c r="C210" s="8">
        <v>180299</v>
      </c>
      <c r="D210" s="16" t="s">
        <v>259</v>
      </c>
      <c r="E210" s="8" t="s">
        <v>163</v>
      </c>
      <c r="F210" s="36">
        <v>0.30049999999999999</v>
      </c>
      <c r="G210" s="37">
        <v>286.95999999999998</v>
      </c>
      <c r="H210" s="38">
        <f t="shared" ref="H210" si="48">IF(E210="H",G210,TRUNC(G210*(1-$K$5),2))</f>
        <v>286.93</v>
      </c>
      <c r="I210" s="39">
        <f t="shared" ref="I210" si="49">TRUNC(H210*F210,2)</f>
        <v>86.22</v>
      </c>
      <c r="J210" s="2"/>
    </row>
    <row r="211" spans="1:10" x14ac:dyDescent="0.25">
      <c r="A211" s="155" t="s">
        <v>173</v>
      </c>
      <c r="B211" s="155"/>
      <c r="C211" s="155"/>
      <c r="D211" s="155"/>
      <c r="E211" s="155"/>
      <c r="F211" s="155"/>
      <c r="G211" s="155"/>
      <c r="H211" s="155"/>
      <c r="I211" s="41">
        <f>SUM(I210:I210)</f>
        <v>86.22</v>
      </c>
      <c r="J211" s="2"/>
    </row>
    <row r="212" spans="1:10" x14ac:dyDescent="0.25">
      <c r="A212" s="148"/>
      <c r="B212" s="149"/>
      <c r="C212" s="149"/>
      <c r="D212" s="149"/>
      <c r="E212" s="149"/>
      <c r="F212" s="149"/>
      <c r="G212" s="149"/>
      <c r="H212" s="149"/>
      <c r="I212" s="150"/>
      <c r="J212" s="2"/>
    </row>
    <row r="213" spans="1:10" x14ac:dyDescent="0.25">
      <c r="A213" s="22" t="s">
        <v>161</v>
      </c>
      <c r="B213" s="151" t="s">
        <v>162</v>
      </c>
      <c r="C213" s="152"/>
      <c r="D213" s="152"/>
      <c r="E213" s="152"/>
      <c r="F213" s="152"/>
      <c r="G213" s="152"/>
      <c r="H213" s="153"/>
      <c r="I213" s="40" t="s">
        <v>163</v>
      </c>
      <c r="J213" s="2"/>
    </row>
    <row r="214" spans="1:10" ht="15" customHeight="1" x14ac:dyDescent="0.25">
      <c r="A214" s="26" t="s">
        <v>115</v>
      </c>
      <c r="B214" s="154" t="str">
        <f>VLOOKUP(A214,planilha!$B$7:$F$696,3,FALSE)</f>
        <v>Revisão de ponto de luz</v>
      </c>
      <c r="C214" s="154"/>
      <c r="D214" s="154"/>
      <c r="E214" s="154"/>
      <c r="F214" s="154"/>
      <c r="G214" s="154"/>
      <c r="H214" s="154"/>
      <c r="I214" s="27" t="str">
        <f>VLOOKUP(A214,planilha!$B$7:$F$696,5,FALSE)</f>
        <v>Pt</v>
      </c>
      <c r="J214" s="28">
        <f>I224</f>
        <v>61.870000000000005</v>
      </c>
    </row>
    <row r="215" spans="1:10" x14ac:dyDescent="0.25">
      <c r="A215" s="29" t="s">
        <v>164</v>
      </c>
      <c r="B215" s="30" t="s">
        <v>165</v>
      </c>
      <c r="C215" s="31" t="s">
        <v>161</v>
      </c>
      <c r="D215" s="31" t="s">
        <v>166</v>
      </c>
      <c r="E215" s="31" t="s">
        <v>163</v>
      </c>
      <c r="F215" s="32" t="s">
        <v>167</v>
      </c>
      <c r="G215" s="33" t="s">
        <v>168</v>
      </c>
      <c r="H215" s="34" t="s">
        <v>169</v>
      </c>
      <c r="I215" s="35" t="s">
        <v>170</v>
      </c>
      <c r="J215" s="2"/>
    </row>
    <row r="216" spans="1:10" x14ac:dyDescent="0.25">
      <c r="A216" s="8" t="s">
        <v>171</v>
      </c>
      <c r="B216" s="8" t="s">
        <v>172</v>
      </c>
      <c r="C216" s="8">
        <v>88264</v>
      </c>
      <c r="D216" s="16" t="s">
        <v>260</v>
      </c>
      <c r="E216" s="8" t="s">
        <v>176</v>
      </c>
      <c r="F216" s="36">
        <v>1.5</v>
      </c>
      <c r="G216" s="37">
        <v>19.32</v>
      </c>
      <c r="H216" s="38">
        <f t="shared" ref="H216:H223" si="50">IF(E216="H",G216,TRUNC(G216*(1-$K$5),2))</f>
        <v>19.32</v>
      </c>
      <c r="I216" s="39">
        <f t="shared" ref="I216:I223" si="51">TRUNC(H216*F216,2)</f>
        <v>28.98</v>
      </c>
      <c r="J216" s="2"/>
    </row>
    <row r="217" spans="1:10" ht="24" x14ac:dyDescent="0.25">
      <c r="A217" s="8" t="s">
        <v>171</v>
      </c>
      <c r="B217" s="8" t="s">
        <v>172</v>
      </c>
      <c r="C217" s="8">
        <v>88247</v>
      </c>
      <c r="D217" s="16" t="s">
        <v>261</v>
      </c>
      <c r="E217" s="8" t="s">
        <v>176</v>
      </c>
      <c r="F217" s="36">
        <v>1.6020000000000001</v>
      </c>
      <c r="G217" s="37">
        <v>15.67</v>
      </c>
      <c r="H217" s="38">
        <f t="shared" si="50"/>
        <v>15.67</v>
      </c>
      <c r="I217" s="39">
        <f t="shared" si="51"/>
        <v>25.1</v>
      </c>
      <c r="J217" s="2"/>
    </row>
    <row r="218" spans="1:10" x14ac:dyDescent="0.25">
      <c r="A218" s="8" t="s">
        <v>77</v>
      </c>
      <c r="B218" s="8" t="s">
        <v>179</v>
      </c>
      <c r="C218" s="8" t="s">
        <v>262</v>
      </c>
      <c r="D218" s="16" t="s">
        <v>263</v>
      </c>
      <c r="E218" s="8" t="s">
        <v>14</v>
      </c>
      <c r="F218" s="36">
        <v>0.8</v>
      </c>
      <c r="G218" s="37">
        <v>0.53</v>
      </c>
      <c r="H218" s="38">
        <f t="shared" si="50"/>
        <v>0.52</v>
      </c>
      <c r="I218" s="39">
        <f t="shared" si="51"/>
        <v>0.41</v>
      </c>
      <c r="J218" s="2"/>
    </row>
    <row r="219" spans="1:10" x14ac:dyDescent="0.25">
      <c r="A219" s="8" t="s">
        <v>77</v>
      </c>
      <c r="B219" s="8" t="s">
        <v>179</v>
      </c>
      <c r="C219" s="8" t="s">
        <v>264</v>
      </c>
      <c r="D219" s="16" t="s">
        <v>265</v>
      </c>
      <c r="E219" s="8" t="s">
        <v>14</v>
      </c>
      <c r="F219" s="36">
        <v>0.4</v>
      </c>
      <c r="G219" s="37">
        <v>2</v>
      </c>
      <c r="H219" s="38">
        <f t="shared" si="50"/>
        <v>1.99</v>
      </c>
      <c r="I219" s="39">
        <f t="shared" si="51"/>
        <v>0.79</v>
      </c>
      <c r="J219" s="2"/>
    </row>
    <row r="220" spans="1:10" x14ac:dyDescent="0.25">
      <c r="A220" s="8" t="s">
        <v>77</v>
      </c>
      <c r="B220" s="8" t="s">
        <v>179</v>
      </c>
      <c r="C220" s="8" t="s">
        <v>266</v>
      </c>
      <c r="D220" s="16" t="s">
        <v>267</v>
      </c>
      <c r="E220" s="8" t="s">
        <v>10</v>
      </c>
      <c r="F220" s="36">
        <v>0.4</v>
      </c>
      <c r="G220" s="37">
        <v>0.7</v>
      </c>
      <c r="H220" s="38">
        <f t="shared" si="50"/>
        <v>0.69</v>
      </c>
      <c r="I220" s="39">
        <f t="shared" si="51"/>
        <v>0.27</v>
      </c>
      <c r="J220" s="2"/>
    </row>
    <row r="221" spans="1:10" x14ac:dyDescent="0.25">
      <c r="A221" s="8" t="s">
        <v>77</v>
      </c>
      <c r="B221" s="8" t="s">
        <v>179</v>
      </c>
      <c r="C221" s="8" t="s">
        <v>268</v>
      </c>
      <c r="D221" s="16" t="s">
        <v>269</v>
      </c>
      <c r="E221" s="8" t="s">
        <v>10</v>
      </c>
      <c r="F221" s="36">
        <v>1.2</v>
      </c>
      <c r="G221" s="37">
        <v>1.7</v>
      </c>
      <c r="H221" s="38">
        <f t="shared" si="50"/>
        <v>1.69</v>
      </c>
      <c r="I221" s="39">
        <f t="shared" si="51"/>
        <v>2.02</v>
      </c>
      <c r="J221" s="2"/>
    </row>
    <row r="222" spans="1:10" x14ac:dyDescent="0.25">
      <c r="A222" s="8" t="s">
        <v>77</v>
      </c>
      <c r="B222" s="8" t="s">
        <v>179</v>
      </c>
      <c r="C222" s="8" t="s">
        <v>270</v>
      </c>
      <c r="D222" s="16" t="s">
        <v>271</v>
      </c>
      <c r="E222" s="8" t="s">
        <v>163</v>
      </c>
      <c r="F222" s="36">
        <v>0.8</v>
      </c>
      <c r="G222" s="37">
        <v>0.44</v>
      </c>
      <c r="H222" s="38">
        <f t="shared" si="50"/>
        <v>0.43</v>
      </c>
      <c r="I222" s="39">
        <f t="shared" si="51"/>
        <v>0.34</v>
      </c>
      <c r="J222" s="2"/>
    </row>
    <row r="223" spans="1:10" x14ac:dyDescent="0.25">
      <c r="A223" s="8" t="s">
        <v>77</v>
      </c>
      <c r="B223" s="8" t="s">
        <v>179</v>
      </c>
      <c r="C223" s="8" t="s">
        <v>272</v>
      </c>
      <c r="D223" s="16" t="s">
        <v>273</v>
      </c>
      <c r="E223" s="8" t="s">
        <v>10</v>
      </c>
      <c r="F223" s="36">
        <v>3.6</v>
      </c>
      <c r="G223" s="37">
        <v>1.1100000000000001</v>
      </c>
      <c r="H223" s="38">
        <f t="shared" si="50"/>
        <v>1.1000000000000001</v>
      </c>
      <c r="I223" s="39">
        <f t="shared" si="51"/>
        <v>3.96</v>
      </c>
      <c r="J223" s="2"/>
    </row>
    <row r="224" spans="1:10" x14ac:dyDescent="0.25">
      <c r="A224" s="155" t="s">
        <v>173</v>
      </c>
      <c r="B224" s="155"/>
      <c r="C224" s="155"/>
      <c r="D224" s="155"/>
      <c r="E224" s="155"/>
      <c r="F224" s="155"/>
      <c r="G224" s="155"/>
      <c r="H224" s="155"/>
      <c r="I224" s="41">
        <f>SUM(I216:I223)</f>
        <v>61.870000000000005</v>
      </c>
      <c r="J224" s="2"/>
    </row>
    <row r="225" spans="1:10" x14ac:dyDescent="0.25">
      <c r="A225" s="148"/>
      <c r="B225" s="149"/>
      <c r="C225" s="149"/>
      <c r="D225" s="149"/>
      <c r="E225" s="149"/>
      <c r="F225" s="149"/>
      <c r="G225" s="149"/>
      <c r="H225" s="149"/>
      <c r="I225" s="150"/>
      <c r="J225" s="2"/>
    </row>
    <row r="226" spans="1:10" x14ac:dyDescent="0.25">
      <c r="A226" s="22" t="s">
        <v>161</v>
      </c>
      <c r="B226" s="151" t="s">
        <v>162</v>
      </c>
      <c r="C226" s="152"/>
      <c r="D226" s="152"/>
      <c r="E226" s="152"/>
      <c r="F226" s="152"/>
      <c r="G226" s="152"/>
      <c r="H226" s="153"/>
      <c r="I226" s="40" t="s">
        <v>163</v>
      </c>
      <c r="J226" s="2"/>
    </row>
    <row r="227" spans="1:10" ht="15" customHeight="1" x14ac:dyDescent="0.25">
      <c r="A227" s="26" t="s">
        <v>36</v>
      </c>
      <c r="B227" s="154" t="str">
        <f>VLOOKUP(A227,planilha!$B$7:$F$696,3,FALSE)</f>
        <v>Ponto de luz / força (c/tubul., cx. e fiaçao) ate 200W</v>
      </c>
      <c r="C227" s="154"/>
      <c r="D227" s="154"/>
      <c r="E227" s="154"/>
      <c r="F227" s="154"/>
      <c r="G227" s="154"/>
      <c r="H227" s="154"/>
      <c r="I227" s="27" t="str">
        <f>VLOOKUP(A227,planilha!$B$7:$F$696,5,FALSE)</f>
        <v>Pt</v>
      </c>
      <c r="J227" s="28">
        <f>I237</f>
        <v>154.80000000000001</v>
      </c>
    </row>
    <row r="228" spans="1:10" x14ac:dyDescent="0.25">
      <c r="A228" s="29" t="s">
        <v>164</v>
      </c>
      <c r="B228" s="30" t="s">
        <v>165</v>
      </c>
      <c r="C228" s="31" t="s">
        <v>161</v>
      </c>
      <c r="D228" s="31" t="s">
        <v>166</v>
      </c>
      <c r="E228" s="31" t="s">
        <v>163</v>
      </c>
      <c r="F228" s="32" t="s">
        <v>167</v>
      </c>
      <c r="G228" s="33" t="s">
        <v>168</v>
      </c>
      <c r="H228" s="34" t="s">
        <v>169</v>
      </c>
      <c r="I228" s="35" t="s">
        <v>170</v>
      </c>
      <c r="J228" s="2"/>
    </row>
    <row r="229" spans="1:10" x14ac:dyDescent="0.25">
      <c r="A229" s="8" t="s">
        <v>171</v>
      </c>
      <c r="B229" s="8" t="s">
        <v>172</v>
      </c>
      <c r="C229" s="8">
        <v>88264</v>
      </c>
      <c r="D229" s="16" t="s">
        <v>260</v>
      </c>
      <c r="E229" s="8" t="s">
        <v>176</v>
      </c>
      <c r="F229" s="36">
        <v>4</v>
      </c>
      <c r="G229" s="37">
        <v>19.32</v>
      </c>
      <c r="H229" s="38">
        <f t="shared" ref="H229:H236" si="52">IF(E229="H",G229,TRUNC(G229*(1-$K$5),2))</f>
        <v>19.32</v>
      </c>
      <c r="I229" s="39">
        <f t="shared" ref="I229:I236" si="53">TRUNC(H229*F229,2)</f>
        <v>77.28</v>
      </c>
      <c r="J229" s="2"/>
    </row>
    <row r="230" spans="1:10" ht="24" x14ac:dyDescent="0.25">
      <c r="A230" s="8" t="s">
        <v>171</v>
      </c>
      <c r="B230" s="8" t="s">
        <v>172</v>
      </c>
      <c r="C230" s="8">
        <v>88247</v>
      </c>
      <c r="D230" s="16" t="s">
        <v>261</v>
      </c>
      <c r="E230" s="8" t="s">
        <v>176</v>
      </c>
      <c r="F230" s="36">
        <v>3.7</v>
      </c>
      <c r="G230" s="37">
        <v>15.67</v>
      </c>
      <c r="H230" s="38">
        <f t="shared" si="52"/>
        <v>15.67</v>
      </c>
      <c r="I230" s="39">
        <f t="shared" si="53"/>
        <v>57.97</v>
      </c>
      <c r="J230" s="2"/>
    </row>
    <row r="231" spans="1:10" x14ac:dyDescent="0.25">
      <c r="A231" s="8" t="s">
        <v>77</v>
      </c>
      <c r="B231" s="8" t="s">
        <v>179</v>
      </c>
      <c r="C231" s="8" t="s">
        <v>262</v>
      </c>
      <c r="D231" s="16" t="s">
        <v>263</v>
      </c>
      <c r="E231" s="8" t="s">
        <v>163</v>
      </c>
      <c r="F231" s="36">
        <v>2</v>
      </c>
      <c r="G231" s="37">
        <v>0.53</v>
      </c>
      <c r="H231" s="38">
        <f t="shared" si="52"/>
        <v>0.52</v>
      </c>
      <c r="I231" s="39">
        <f t="shared" si="53"/>
        <v>1.04</v>
      </c>
      <c r="J231" s="2"/>
    </row>
    <row r="232" spans="1:10" x14ac:dyDescent="0.25">
      <c r="A232" s="8" t="s">
        <v>77</v>
      </c>
      <c r="B232" s="8" t="s">
        <v>179</v>
      </c>
      <c r="C232" s="8" t="s">
        <v>264</v>
      </c>
      <c r="D232" s="16" t="s">
        <v>265</v>
      </c>
      <c r="E232" s="8" t="s">
        <v>163</v>
      </c>
      <c r="F232" s="36">
        <v>1</v>
      </c>
      <c r="G232" s="37">
        <v>2</v>
      </c>
      <c r="H232" s="38">
        <f t="shared" si="52"/>
        <v>1.99</v>
      </c>
      <c r="I232" s="39">
        <f t="shared" si="53"/>
        <v>1.99</v>
      </c>
      <c r="J232" s="2"/>
    </row>
    <row r="233" spans="1:10" x14ac:dyDescent="0.25">
      <c r="A233" s="8" t="s">
        <v>77</v>
      </c>
      <c r="B233" s="8" t="s">
        <v>179</v>
      </c>
      <c r="C233" s="8" t="s">
        <v>266</v>
      </c>
      <c r="D233" s="16" t="s">
        <v>267</v>
      </c>
      <c r="E233" s="8" t="s">
        <v>10</v>
      </c>
      <c r="F233" s="36">
        <v>1</v>
      </c>
      <c r="G233" s="37">
        <v>0.7</v>
      </c>
      <c r="H233" s="38">
        <f t="shared" si="52"/>
        <v>0.69</v>
      </c>
      <c r="I233" s="39">
        <f t="shared" si="53"/>
        <v>0.69</v>
      </c>
      <c r="J233" s="2"/>
    </row>
    <row r="234" spans="1:10" x14ac:dyDescent="0.25">
      <c r="A234" s="8" t="s">
        <v>77</v>
      </c>
      <c r="B234" s="8" t="s">
        <v>179</v>
      </c>
      <c r="C234" s="8" t="s">
        <v>268</v>
      </c>
      <c r="D234" s="16" t="s">
        <v>269</v>
      </c>
      <c r="E234" s="8" t="s">
        <v>10</v>
      </c>
      <c r="F234" s="36">
        <v>3</v>
      </c>
      <c r="G234" s="37">
        <v>1.7</v>
      </c>
      <c r="H234" s="38">
        <f t="shared" si="52"/>
        <v>1.69</v>
      </c>
      <c r="I234" s="39">
        <f t="shared" si="53"/>
        <v>5.07</v>
      </c>
      <c r="J234" s="2"/>
    </row>
    <row r="235" spans="1:10" x14ac:dyDescent="0.25">
      <c r="A235" s="8" t="s">
        <v>77</v>
      </c>
      <c r="B235" s="8" t="s">
        <v>179</v>
      </c>
      <c r="C235" s="8" t="s">
        <v>270</v>
      </c>
      <c r="D235" s="16" t="s">
        <v>271</v>
      </c>
      <c r="E235" s="8" t="s">
        <v>163</v>
      </c>
      <c r="F235" s="36">
        <v>2</v>
      </c>
      <c r="G235" s="37">
        <v>0.44</v>
      </c>
      <c r="H235" s="38">
        <f t="shared" si="52"/>
        <v>0.43</v>
      </c>
      <c r="I235" s="39">
        <f t="shared" si="53"/>
        <v>0.86</v>
      </c>
      <c r="J235" s="2"/>
    </row>
    <row r="236" spans="1:10" x14ac:dyDescent="0.25">
      <c r="A236" s="8" t="s">
        <v>77</v>
      </c>
      <c r="B236" s="8" t="s">
        <v>179</v>
      </c>
      <c r="C236" s="8" t="s">
        <v>272</v>
      </c>
      <c r="D236" s="16" t="s">
        <v>273</v>
      </c>
      <c r="E236" s="8" t="s">
        <v>10</v>
      </c>
      <c r="F236" s="36">
        <v>9</v>
      </c>
      <c r="G236" s="37">
        <v>1.1100000000000001</v>
      </c>
      <c r="H236" s="38">
        <f t="shared" si="52"/>
        <v>1.1000000000000001</v>
      </c>
      <c r="I236" s="39">
        <f t="shared" si="53"/>
        <v>9.9</v>
      </c>
      <c r="J236" s="2"/>
    </row>
    <row r="237" spans="1:10" x14ac:dyDescent="0.25">
      <c r="A237" s="155" t="s">
        <v>173</v>
      </c>
      <c r="B237" s="155"/>
      <c r="C237" s="155"/>
      <c r="D237" s="155"/>
      <c r="E237" s="155"/>
      <c r="F237" s="155"/>
      <c r="G237" s="155"/>
      <c r="H237" s="155"/>
      <c r="I237" s="41">
        <f>SUM(I229:I236)</f>
        <v>154.80000000000001</v>
      </c>
      <c r="J237" s="2"/>
    </row>
    <row r="238" spans="1:10" x14ac:dyDescent="0.25">
      <c r="A238" s="148"/>
      <c r="B238" s="149"/>
      <c r="C238" s="149"/>
      <c r="D238" s="149"/>
      <c r="E238" s="149"/>
      <c r="F238" s="149"/>
      <c r="G238" s="149"/>
      <c r="H238" s="149"/>
      <c r="I238" s="150"/>
      <c r="J238" s="2"/>
    </row>
    <row r="239" spans="1:10" x14ac:dyDescent="0.25">
      <c r="A239" s="22" t="s">
        <v>161</v>
      </c>
      <c r="B239" s="151" t="s">
        <v>162</v>
      </c>
      <c r="C239" s="152"/>
      <c r="D239" s="152"/>
      <c r="E239" s="152"/>
      <c r="F239" s="152"/>
      <c r="G239" s="152"/>
      <c r="H239" s="153"/>
      <c r="I239" s="40" t="s">
        <v>163</v>
      </c>
      <c r="J239" s="2"/>
    </row>
    <row r="240" spans="1:10" ht="15" customHeight="1" x14ac:dyDescent="0.25">
      <c r="A240" s="26" t="s">
        <v>65</v>
      </c>
      <c r="B240" s="154" t="str">
        <f>VLOOKUP(A240,planilha!$B$7:$F$696,3,FALSE)</f>
        <v>Luminaria c/ 1 lamp. fluorescente 16W (sem fiaçao)</v>
      </c>
      <c r="C240" s="154"/>
      <c r="D240" s="154"/>
      <c r="E240" s="154"/>
      <c r="F240" s="154"/>
      <c r="G240" s="154"/>
      <c r="H240" s="154"/>
      <c r="I240" s="27" t="str">
        <f>VLOOKUP(A240,planilha!$B$7:$F$696,5,FALSE)</f>
        <v>UN</v>
      </c>
      <c r="J240" s="28">
        <f>I245</f>
        <v>76.63</v>
      </c>
    </row>
    <row r="241" spans="1:10" x14ac:dyDescent="0.25">
      <c r="A241" s="29" t="s">
        <v>164</v>
      </c>
      <c r="B241" s="30" t="s">
        <v>165</v>
      </c>
      <c r="C241" s="31" t="s">
        <v>161</v>
      </c>
      <c r="D241" s="31" t="s">
        <v>166</v>
      </c>
      <c r="E241" s="31" t="s">
        <v>163</v>
      </c>
      <c r="F241" s="32" t="s">
        <v>167</v>
      </c>
      <c r="G241" s="33" t="s">
        <v>168</v>
      </c>
      <c r="H241" s="34" t="s">
        <v>169</v>
      </c>
      <c r="I241" s="35" t="s">
        <v>170</v>
      </c>
      <c r="J241" s="2"/>
    </row>
    <row r="242" spans="1:10" x14ac:dyDescent="0.25">
      <c r="A242" s="8" t="s">
        <v>171</v>
      </c>
      <c r="B242" s="8" t="s">
        <v>172</v>
      </c>
      <c r="C242" s="8">
        <v>88264</v>
      </c>
      <c r="D242" s="16" t="s">
        <v>260</v>
      </c>
      <c r="E242" s="8" t="s">
        <v>176</v>
      </c>
      <c r="F242" s="36">
        <v>0.63400000000000001</v>
      </c>
      <c r="G242" s="37">
        <v>19.32</v>
      </c>
      <c r="H242" s="38">
        <f t="shared" ref="H242:H244" si="54">IF(E242="H",G242,TRUNC(G242*(1-$K$5),2))</f>
        <v>19.32</v>
      </c>
      <c r="I242" s="39">
        <f t="shared" ref="I242:I244" si="55">TRUNC(H242*F242,2)</f>
        <v>12.24</v>
      </c>
      <c r="J242" s="2"/>
    </row>
    <row r="243" spans="1:10" ht="24" x14ac:dyDescent="0.25">
      <c r="A243" s="8" t="s">
        <v>171</v>
      </c>
      <c r="B243" s="8" t="s">
        <v>172</v>
      </c>
      <c r="C243" s="8">
        <v>88247</v>
      </c>
      <c r="D243" s="16" t="s">
        <v>261</v>
      </c>
      <c r="E243" s="8" t="s">
        <v>176</v>
      </c>
      <c r="F243" s="36">
        <v>0.6</v>
      </c>
      <c r="G243" s="37">
        <v>15.67</v>
      </c>
      <c r="H243" s="38">
        <f t="shared" si="54"/>
        <v>15.67</v>
      </c>
      <c r="I243" s="39">
        <f t="shared" si="55"/>
        <v>9.4</v>
      </c>
      <c r="J243" s="2"/>
    </row>
    <row r="244" spans="1:10" x14ac:dyDescent="0.25">
      <c r="A244" s="8" t="s">
        <v>77</v>
      </c>
      <c r="B244" s="8" t="s">
        <v>179</v>
      </c>
      <c r="C244" s="8" t="s">
        <v>274</v>
      </c>
      <c r="D244" s="16" t="s">
        <v>275</v>
      </c>
      <c r="E244" s="8" t="s">
        <v>163</v>
      </c>
      <c r="F244" s="36">
        <v>1</v>
      </c>
      <c r="G244" s="37">
        <v>55</v>
      </c>
      <c r="H244" s="38">
        <f t="shared" si="54"/>
        <v>54.99</v>
      </c>
      <c r="I244" s="39">
        <f t="shared" si="55"/>
        <v>54.99</v>
      </c>
      <c r="J244" s="2"/>
    </row>
    <row r="245" spans="1:10" x14ac:dyDescent="0.25">
      <c r="A245" s="155" t="s">
        <v>173</v>
      </c>
      <c r="B245" s="155"/>
      <c r="C245" s="155"/>
      <c r="D245" s="155"/>
      <c r="E245" s="155"/>
      <c r="F245" s="155"/>
      <c r="G245" s="155"/>
      <c r="H245" s="155"/>
      <c r="I245" s="41">
        <f>SUM(I242:I244)</f>
        <v>76.63</v>
      </c>
      <c r="J245" s="2"/>
    </row>
    <row r="246" spans="1:10" x14ac:dyDescent="0.25">
      <c r="A246" s="148"/>
      <c r="B246" s="149"/>
      <c r="C246" s="149"/>
      <c r="D246" s="149"/>
      <c r="E246" s="149"/>
      <c r="F246" s="149"/>
      <c r="G246" s="149"/>
      <c r="H246" s="149"/>
      <c r="I246" s="150"/>
      <c r="J246" s="2"/>
    </row>
    <row r="247" spans="1:10" x14ac:dyDescent="0.25">
      <c r="A247" s="22" t="s">
        <v>161</v>
      </c>
      <c r="B247" s="151" t="s">
        <v>162</v>
      </c>
      <c r="C247" s="152"/>
      <c r="D247" s="152"/>
      <c r="E247" s="152"/>
      <c r="F247" s="152"/>
      <c r="G247" s="152"/>
      <c r="H247" s="153"/>
      <c r="I247" s="40" t="s">
        <v>163</v>
      </c>
      <c r="J247" s="2"/>
    </row>
    <row r="248" spans="1:10" x14ac:dyDescent="0.25">
      <c r="A248" s="26" t="str">
        <f>planilha!B48</f>
        <v>170332</v>
      </c>
      <c r="B248" s="154" t="str">
        <f>VLOOKUP(A248,planilha!$B$7:$F$696,3,FALSE)</f>
        <v>Interruptor 1 tecla simples (s/fiaçao)</v>
      </c>
      <c r="C248" s="154"/>
      <c r="D248" s="154"/>
      <c r="E248" s="154"/>
      <c r="F248" s="154"/>
      <c r="G248" s="154"/>
      <c r="H248" s="154"/>
      <c r="I248" s="27" t="str">
        <f>VLOOKUP(A248,planilha!$B$7:$F$696,5,FALSE)</f>
        <v>UN</v>
      </c>
      <c r="J248" s="28">
        <f>I253</f>
        <v>11.16</v>
      </c>
    </row>
    <row r="249" spans="1:10" x14ac:dyDescent="0.25">
      <c r="A249" s="29" t="s">
        <v>164</v>
      </c>
      <c r="B249" s="30" t="s">
        <v>165</v>
      </c>
      <c r="C249" s="31" t="s">
        <v>161</v>
      </c>
      <c r="D249" s="31" t="s">
        <v>166</v>
      </c>
      <c r="E249" s="31" t="s">
        <v>163</v>
      </c>
      <c r="F249" s="32" t="s">
        <v>167</v>
      </c>
      <c r="G249" s="33" t="s">
        <v>168</v>
      </c>
      <c r="H249" s="34" t="s">
        <v>169</v>
      </c>
      <c r="I249" s="35" t="s">
        <v>170</v>
      </c>
      <c r="J249" s="2"/>
    </row>
    <row r="250" spans="1:10" x14ac:dyDescent="0.25">
      <c r="A250" s="8" t="s">
        <v>171</v>
      </c>
      <c r="B250" s="8" t="s">
        <v>172</v>
      </c>
      <c r="C250" s="8">
        <v>88264</v>
      </c>
      <c r="D250" s="16" t="s">
        <v>260</v>
      </c>
      <c r="E250" s="8" t="s">
        <v>176</v>
      </c>
      <c r="F250" s="36">
        <v>0.17199999999999999</v>
      </c>
      <c r="G250" s="37">
        <v>19.32</v>
      </c>
      <c r="H250" s="38">
        <f t="shared" ref="H250:H252" si="56">IF(E250="H",G250,TRUNC(G250*(1-$K$5),2))</f>
        <v>19.32</v>
      </c>
      <c r="I250" s="39">
        <f t="shared" ref="I250:I252" si="57">TRUNC(H250*F250,2)</f>
        <v>3.32</v>
      </c>
      <c r="J250" s="2"/>
    </row>
    <row r="251" spans="1:10" ht="24" x14ac:dyDescent="0.25">
      <c r="A251" s="8" t="s">
        <v>171</v>
      </c>
      <c r="B251" s="8" t="s">
        <v>172</v>
      </c>
      <c r="C251" s="8">
        <v>88247</v>
      </c>
      <c r="D251" s="16" t="s">
        <v>261</v>
      </c>
      <c r="E251" s="8" t="s">
        <v>176</v>
      </c>
      <c r="F251" s="36">
        <v>0.15</v>
      </c>
      <c r="G251" s="37">
        <v>15.67</v>
      </c>
      <c r="H251" s="38">
        <f t="shared" si="56"/>
        <v>15.67</v>
      </c>
      <c r="I251" s="39">
        <f t="shared" si="57"/>
        <v>2.35</v>
      </c>
      <c r="J251" s="2"/>
    </row>
    <row r="252" spans="1:10" x14ac:dyDescent="0.25">
      <c r="A252" s="8" t="s">
        <v>77</v>
      </c>
      <c r="B252" s="8" t="s">
        <v>179</v>
      </c>
      <c r="C252" s="8" t="s">
        <v>276</v>
      </c>
      <c r="D252" s="16" t="s">
        <v>76</v>
      </c>
      <c r="E252" s="8" t="s">
        <v>163</v>
      </c>
      <c r="F252" s="36">
        <v>1</v>
      </c>
      <c r="G252" s="37">
        <v>5.5</v>
      </c>
      <c r="H252" s="38">
        <f t="shared" si="56"/>
        <v>5.49</v>
      </c>
      <c r="I252" s="39">
        <f t="shared" si="57"/>
        <v>5.49</v>
      </c>
      <c r="J252" s="2"/>
    </row>
    <row r="253" spans="1:10" x14ac:dyDescent="0.25">
      <c r="A253" s="155" t="s">
        <v>173</v>
      </c>
      <c r="B253" s="155"/>
      <c r="C253" s="155"/>
      <c r="D253" s="155"/>
      <c r="E253" s="155"/>
      <c r="F253" s="155"/>
      <c r="G253" s="155"/>
      <c r="H253" s="155"/>
      <c r="I253" s="41">
        <f>SUM(I250:I252)</f>
        <v>11.16</v>
      </c>
      <c r="J253" s="2"/>
    </row>
    <row r="254" spans="1:10" x14ac:dyDescent="0.25">
      <c r="A254" s="148"/>
      <c r="B254" s="149"/>
      <c r="C254" s="149"/>
      <c r="D254" s="149"/>
      <c r="E254" s="149"/>
      <c r="F254" s="149"/>
      <c r="G254" s="149"/>
      <c r="H254" s="149"/>
      <c r="I254" s="150"/>
      <c r="J254" s="2"/>
    </row>
    <row r="255" spans="1:10" x14ac:dyDescent="0.25">
      <c r="A255" s="22" t="s">
        <v>161</v>
      </c>
      <c r="B255" s="151" t="s">
        <v>162</v>
      </c>
      <c r="C255" s="152"/>
      <c r="D255" s="152"/>
      <c r="E255" s="152"/>
      <c r="F255" s="152"/>
      <c r="G255" s="152"/>
      <c r="H255" s="153"/>
      <c r="I255" s="40" t="s">
        <v>163</v>
      </c>
      <c r="J255" s="2"/>
    </row>
    <row r="256" spans="1:10" ht="15" customHeight="1" x14ac:dyDescent="0.25">
      <c r="A256" s="26" t="s">
        <v>108</v>
      </c>
      <c r="B256" s="154" t="str">
        <f>VLOOKUP(A256,planilha!$B$7:$F$696,3,FALSE)</f>
        <v>Tomada 2P+T 10A (s/fiaçao)</v>
      </c>
      <c r="C256" s="154"/>
      <c r="D256" s="154"/>
      <c r="E256" s="154"/>
      <c r="F256" s="154"/>
      <c r="G256" s="154"/>
      <c r="H256" s="154"/>
      <c r="I256" s="27" t="str">
        <f>VLOOKUP(A256,planilha!$B$7:$F$696,5,FALSE)</f>
        <v>UN</v>
      </c>
      <c r="J256" s="28">
        <f>I261</f>
        <v>14.65</v>
      </c>
    </row>
    <row r="257" spans="1:10" x14ac:dyDescent="0.25">
      <c r="A257" s="29" t="s">
        <v>164</v>
      </c>
      <c r="B257" s="30" t="s">
        <v>165</v>
      </c>
      <c r="C257" s="31" t="s">
        <v>161</v>
      </c>
      <c r="D257" s="31" t="s">
        <v>166</v>
      </c>
      <c r="E257" s="31" t="s">
        <v>163</v>
      </c>
      <c r="F257" s="32" t="s">
        <v>167</v>
      </c>
      <c r="G257" s="33" t="s">
        <v>168</v>
      </c>
      <c r="H257" s="34" t="s">
        <v>169</v>
      </c>
      <c r="I257" s="35" t="s">
        <v>170</v>
      </c>
      <c r="J257" s="2"/>
    </row>
    <row r="258" spans="1:10" x14ac:dyDescent="0.25">
      <c r="A258" s="8" t="s">
        <v>171</v>
      </c>
      <c r="B258" s="8" t="s">
        <v>172</v>
      </c>
      <c r="C258" s="8">
        <v>88264</v>
      </c>
      <c r="D258" s="16" t="s">
        <v>260</v>
      </c>
      <c r="E258" s="8" t="s">
        <v>176</v>
      </c>
      <c r="F258" s="36">
        <v>0.24299999999999999</v>
      </c>
      <c r="G258" s="37">
        <v>19.32</v>
      </c>
      <c r="H258" s="38">
        <f t="shared" ref="H258:H260" si="58">IF(E258="H",G258,TRUNC(G258*(1-$K$5),2))</f>
        <v>19.32</v>
      </c>
      <c r="I258" s="39">
        <f t="shared" ref="I258:I260" si="59">TRUNC(H258*F258,2)</f>
        <v>4.6900000000000004</v>
      </c>
      <c r="J258" s="2"/>
    </row>
    <row r="259" spans="1:10" ht="24" x14ac:dyDescent="0.25">
      <c r="A259" s="8" t="s">
        <v>171</v>
      </c>
      <c r="B259" s="8" t="s">
        <v>172</v>
      </c>
      <c r="C259" s="8">
        <v>88247</v>
      </c>
      <c r="D259" s="16" t="s">
        <v>261</v>
      </c>
      <c r="E259" s="8" t="s">
        <v>176</v>
      </c>
      <c r="F259" s="36">
        <v>0.2</v>
      </c>
      <c r="G259" s="37">
        <v>15.67</v>
      </c>
      <c r="H259" s="38">
        <f t="shared" si="58"/>
        <v>15.67</v>
      </c>
      <c r="I259" s="39">
        <f t="shared" si="59"/>
        <v>3.13</v>
      </c>
      <c r="J259" s="2"/>
    </row>
    <row r="260" spans="1:10" x14ac:dyDescent="0.25">
      <c r="A260" s="8" t="s">
        <v>77</v>
      </c>
      <c r="B260" s="8" t="s">
        <v>179</v>
      </c>
      <c r="C260" s="8" t="s">
        <v>277</v>
      </c>
      <c r="D260" s="16" t="s">
        <v>22</v>
      </c>
      <c r="E260" s="8" t="s">
        <v>163</v>
      </c>
      <c r="F260" s="36">
        <v>1</v>
      </c>
      <c r="G260" s="37">
        <v>6.84</v>
      </c>
      <c r="H260" s="38">
        <f t="shared" si="58"/>
        <v>6.83</v>
      </c>
      <c r="I260" s="39">
        <f t="shared" si="59"/>
        <v>6.83</v>
      </c>
      <c r="J260" s="2"/>
    </row>
    <row r="261" spans="1:10" x14ac:dyDescent="0.25">
      <c r="A261" s="155" t="s">
        <v>173</v>
      </c>
      <c r="B261" s="155"/>
      <c r="C261" s="155"/>
      <c r="D261" s="155"/>
      <c r="E261" s="155"/>
      <c r="F261" s="155"/>
      <c r="G261" s="155"/>
      <c r="H261" s="155"/>
      <c r="I261" s="41">
        <f>SUM(I258:I260)</f>
        <v>14.65</v>
      </c>
      <c r="J261" s="2"/>
    </row>
    <row r="262" spans="1:10" x14ac:dyDescent="0.25">
      <c r="A262" s="148"/>
      <c r="B262" s="149"/>
      <c r="C262" s="149"/>
      <c r="D262" s="149"/>
      <c r="E262" s="149"/>
      <c r="F262" s="149"/>
      <c r="G262" s="149"/>
      <c r="H262" s="149"/>
      <c r="I262" s="150"/>
      <c r="J262" s="2"/>
    </row>
    <row r="263" spans="1:10" x14ac:dyDescent="0.25">
      <c r="A263" s="22" t="s">
        <v>161</v>
      </c>
      <c r="B263" s="151" t="s">
        <v>162</v>
      </c>
      <c r="C263" s="152"/>
      <c r="D263" s="152"/>
      <c r="E263" s="152"/>
      <c r="F263" s="152"/>
      <c r="G263" s="152"/>
      <c r="H263" s="153"/>
      <c r="I263" s="40" t="s">
        <v>163</v>
      </c>
      <c r="J263" s="2"/>
    </row>
    <row r="264" spans="1:10" ht="15" customHeight="1" x14ac:dyDescent="0.25">
      <c r="A264" s="26" t="s">
        <v>129</v>
      </c>
      <c r="B264" s="154" t="str">
        <f>VLOOKUP(A264,planilha!$B$7:$F$696,3,FALSE)</f>
        <v>Bacia sifonada c/cx. descarga acoplada c/ assento</v>
      </c>
      <c r="C264" s="154"/>
      <c r="D264" s="154"/>
      <c r="E264" s="154"/>
      <c r="F264" s="154"/>
      <c r="G264" s="154"/>
      <c r="H264" s="154"/>
      <c r="I264" s="27" t="str">
        <f>VLOOKUP(A264,planilha!$B$7:$F$696,5,FALSE)</f>
        <v>UN</v>
      </c>
      <c r="J264" s="28">
        <f>I276</f>
        <v>462.45699999999999</v>
      </c>
    </row>
    <row r="265" spans="1:10" x14ac:dyDescent="0.25">
      <c r="A265" s="29" t="s">
        <v>164</v>
      </c>
      <c r="B265" s="30" t="s">
        <v>165</v>
      </c>
      <c r="C265" s="31" t="s">
        <v>161</v>
      </c>
      <c r="D265" s="31" t="s">
        <v>166</v>
      </c>
      <c r="E265" s="31" t="s">
        <v>163</v>
      </c>
      <c r="F265" s="32" t="s">
        <v>167</v>
      </c>
      <c r="G265" s="33" t="s">
        <v>168</v>
      </c>
      <c r="H265" s="34" t="s">
        <v>169</v>
      </c>
      <c r="I265" s="35" t="s">
        <v>170</v>
      </c>
      <c r="J265" s="2"/>
    </row>
    <row r="266" spans="1:10" ht="24" x14ac:dyDescent="0.25">
      <c r="A266" s="8" t="s">
        <v>171</v>
      </c>
      <c r="B266" s="8" t="s">
        <v>172</v>
      </c>
      <c r="C266" s="8">
        <v>88267</v>
      </c>
      <c r="D266" s="16" t="s">
        <v>278</v>
      </c>
      <c r="E266" s="8" t="s">
        <v>176</v>
      </c>
      <c r="F266" s="36">
        <v>3</v>
      </c>
      <c r="G266" s="37">
        <v>19.100000000000001</v>
      </c>
      <c r="H266" s="38">
        <f t="shared" ref="H266:H275" si="60">IF(E266="H",G266,TRUNC(G266*(1-$K$5),2))</f>
        <v>19.100000000000001</v>
      </c>
      <c r="I266" s="39">
        <f t="shared" ref="I266:I275" si="61">TRUNC(H266*F266,2)</f>
        <v>57.3</v>
      </c>
      <c r="J266" s="2"/>
    </row>
    <row r="267" spans="1:10" x14ac:dyDescent="0.25">
      <c r="A267" s="8" t="s">
        <v>171</v>
      </c>
      <c r="B267" s="8" t="s">
        <v>172</v>
      </c>
      <c r="C267" s="8">
        <v>88316</v>
      </c>
      <c r="D267" s="16" t="s">
        <v>177</v>
      </c>
      <c r="E267" s="8" t="s">
        <v>176</v>
      </c>
      <c r="F267" s="36">
        <v>3.7240000000000002</v>
      </c>
      <c r="G267" s="37">
        <v>15.12</v>
      </c>
      <c r="H267" s="38">
        <f t="shared" si="60"/>
        <v>15.12</v>
      </c>
      <c r="I267" s="39">
        <f t="shared" si="61"/>
        <v>56.3</v>
      </c>
      <c r="J267" s="2"/>
    </row>
    <row r="268" spans="1:10" x14ac:dyDescent="0.25">
      <c r="A268" s="8" t="s">
        <v>77</v>
      </c>
      <c r="B268" s="8" t="s">
        <v>179</v>
      </c>
      <c r="C268" s="8" t="s">
        <v>279</v>
      </c>
      <c r="D268" s="16" t="s">
        <v>280</v>
      </c>
      <c r="E268" s="8" t="s">
        <v>281</v>
      </c>
      <c r="F268" s="36">
        <v>8.9999999999999993E-3</v>
      </c>
      <c r="G268" s="37">
        <v>4.5</v>
      </c>
      <c r="H268" s="38">
        <f t="shared" si="60"/>
        <v>4.49</v>
      </c>
      <c r="I268" s="39">
        <f t="shared" si="61"/>
        <v>0.04</v>
      </c>
      <c r="J268" s="2"/>
    </row>
    <row r="269" spans="1:10" x14ac:dyDescent="0.25">
      <c r="A269" s="8" t="s">
        <v>77</v>
      </c>
      <c r="B269" s="8" t="s">
        <v>179</v>
      </c>
      <c r="C269" s="8" t="s">
        <v>282</v>
      </c>
      <c r="D269" s="16" t="s">
        <v>283</v>
      </c>
      <c r="E269" s="8" t="s">
        <v>163</v>
      </c>
      <c r="F269" s="36">
        <v>1</v>
      </c>
      <c r="G269" s="37">
        <v>1.1000000000000001</v>
      </c>
      <c r="H269" s="38">
        <f t="shared" si="60"/>
        <v>1.0900000000000001</v>
      </c>
      <c r="I269" s="39">
        <f t="shared" si="61"/>
        <v>1.0900000000000001</v>
      </c>
      <c r="J269" s="2"/>
    </row>
    <row r="270" spans="1:10" x14ac:dyDescent="0.25">
      <c r="A270" s="8" t="s">
        <v>77</v>
      </c>
      <c r="B270" s="8" t="s">
        <v>179</v>
      </c>
      <c r="C270" s="8" t="s">
        <v>284</v>
      </c>
      <c r="D270" s="16" t="s">
        <v>285</v>
      </c>
      <c r="E270" s="8" t="s">
        <v>163</v>
      </c>
      <c r="F270" s="36">
        <v>1</v>
      </c>
      <c r="G270" s="37">
        <v>25</v>
      </c>
      <c r="H270" s="38">
        <f t="shared" si="60"/>
        <v>24.99</v>
      </c>
      <c r="I270" s="39">
        <f t="shared" si="61"/>
        <v>24.99</v>
      </c>
      <c r="J270" s="2"/>
    </row>
    <row r="271" spans="1:10" x14ac:dyDescent="0.25">
      <c r="A271" s="8" t="s">
        <v>77</v>
      </c>
      <c r="B271" s="8" t="s">
        <v>179</v>
      </c>
      <c r="C271" s="8" t="s">
        <v>286</v>
      </c>
      <c r="D271" s="16" t="s">
        <v>287</v>
      </c>
      <c r="E271" s="8" t="s">
        <v>163</v>
      </c>
      <c r="F271" s="36">
        <v>1</v>
      </c>
      <c r="G271" s="37">
        <v>284.67</v>
      </c>
      <c r="H271" s="38">
        <f t="shared" si="60"/>
        <v>284.64</v>
      </c>
      <c r="I271" s="39">
        <f t="shared" si="61"/>
        <v>284.64</v>
      </c>
      <c r="J271" s="2"/>
    </row>
    <row r="272" spans="1:10" x14ac:dyDescent="0.25">
      <c r="A272" s="8" t="s">
        <v>77</v>
      </c>
      <c r="B272" s="8" t="s">
        <v>179</v>
      </c>
      <c r="C272" s="8" t="s">
        <v>288</v>
      </c>
      <c r="D272" s="16" t="s">
        <v>289</v>
      </c>
      <c r="E272" s="8" t="s">
        <v>221</v>
      </c>
      <c r="F272" s="36">
        <v>2.9999999999999997E-4</v>
      </c>
      <c r="G272" s="37">
        <v>26.2</v>
      </c>
      <c r="H272" s="38">
        <f t="shared" si="60"/>
        <v>26.19</v>
      </c>
      <c r="I272" s="45">
        <f>TRUNC(H272*F272,3)</f>
        <v>7.0000000000000001E-3</v>
      </c>
      <c r="J272" s="2"/>
    </row>
    <row r="273" spans="1:10" x14ac:dyDescent="0.25">
      <c r="A273" s="8" t="s">
        <v>77</v>
      </c>
      <c r="B273" s="8" t="s">
        <v>179</v>
      </c>
      <c r="C273" s="8" t="s">
        <v>290</v>
      </c>
      <c r="D273" s="16" t="s">
        <v>291</v>
      </c>
      <c r="E273" s="8" t="s">
        <v>163</v>
      </c>
      <c r="F273" s="36">
        <v>2</v>
      </c>
      <c r="G273" s="37">
        <v>3.9</v>
      </c>
      <c r="H273" s="38">
        <f t="shared" si="60"/>
        <v>3.89</v>
      </c>
      <c r="I273" s="39">
        <f t="shared" si="61"/>
        <v>7.78</v>
      </c>
      <c r="J273" s="2"/>
    </row>
    <row r="274" spans="1:10" x14ac:dyDescent="0.25">
      <c r="A274" s="8" t="s">
        <v>77</v>
      </c>
      <c r="B274" s="8" t="s">
        <v>179</v>
      </c>
      <c r="C274" s="8" t="s">
        <v>292</v>
      </c>
      <c r="D274" s="16" t="s">
        <v>293</v>
      </c>
      <c r="E274" s="8" t="s">
        <v>163</v>
      </c>
      <c r="F274" s="36">
        <v>1</v>
      </c>
      <c r="G274" s="37">
        <v>3.38</v>
      </c>
      <c r="H274" s="38">
        <f t="shared" si="60"/>
        <v>3.37</v>
      </c>
      <c r="I274" s="39">
        <f t="shared" si="61"/>
        <v>3.37</v>
      </c>
      <c r="J274" s="2"/>
    </row>
    <row r="275" spans="1:10" x14ac:dyDescent="0.25">
      <c r="A275" s="8" t="s">
        <v>77</v>
      </c>
      <c r="B275" s="8" t="s">
        <v>179</v>
      </c>
      <c r="C275" s="8" t="s">
        <v>294</v>
      </c>
      <c r="D275" s="16" t="s">
        <v>295</v>
      </c>
      <c r="E275" s="8" t="s">
        <v>163</v>
      </c>
      <c r="F275" s="36">
        <v>1</v>
      </c>
      <c r="G275" s="37">
        <v>26.95</v>
      </c>
      <c r="H275" s="38">
        <f t="shared" si="60"/>
        <v>26.94</v>
      </c>
      <c r="I275" s="39">
        <f t="shared" si="61"/>
        <v>26.94</v>
      </c>
      <c r="J275" s="2"/>
    </row>
    <row r="276" spans="1:10" x14ac:dyDescent="0.25">
      <c r="A276" s="155" t="s">
        <v>173</v>
      </c>
      <c r="B276" s="155"/>
      <c r="C276" s="155"/>
      <c r="D276" s="155"/>
      <c r="E276" s="155"/>
      <c r="F276" s="155"/>
      <c r="G276" s="155"/>
      <c r="H276" s="155"/>
      <c r="I276" s="41">
        <f>SUM(I266:I275)</f>
        <v>462.45699999999999</v>
      </c>
      <c r="J276" s="2"/>
    </row>
    <row r="277" spans="1:10" x14ac:dyDescent="0.25">
      <c r="A277" s="148"/>
      <c r="B277" s="149"/>
      <c r="C277" s="149"/>
      <c r="D277" s="149"/>
      <c r="E277" s="149"/>
      <c r="F277" s="149"/>
      <c r="G277" s="149"/>
      <c r="H277" s="149"/>
      <c r="I277" s="150"/>
      <c r="J277" s="2"/>
    </row>
    <row r="278" spans="1:10" x14ac:dyDescent="0.25">
      <c r="A278" s="22" t="s">
        <v>161</v>
      </c>
      <c r="B278" s="151" t="s">
        <v>162</v>
      </c>
      <c r="C278" s="152"/>
      <c r="D278" s="152"/>
      <c r="E278" s="152"/>
      <c r="F278" s="152"/>
      <c r="G278" s="152"/>
      <c r="H278" s="153"/>
      <c r="I278" s="40" t="s">
        <v>163</v>
      </c>
      <c r="J278" s="2"/>
    </row>
    <row r="279" spans="1:10" ht="15" customHeight="1" x14ac:dyDescent="0.25">
      <c r="A279" s="26" t="s">
        <v>64</v>
      </c>
      <c r="B279" s="154" t="str">
        <f>VLOOKUP(A279,planilha!$B$7:$F$696,3,FALSE)</f>
        <v>Lavatorio de louça c/col.,torneira,sifao e valv.</v>
      </c>
      <c r="C279" s="154"/>
      <c r="D279" s="154"/>
      <c r="E279" s="154"/>
      <c r="F279" s="154"/>
      <c r="G279" s="154"/>
      <c r="H279" s="154"/>
      <c r="I279" s="27" t="str">
        <f>VLOOKUP(A279,planilha!$B$7:$F$696,5,FALSE)</f>
        <v>UN</v>
      </c>
      <c r="J279" s="28">
        <f>I289</f>
        <v>431.91</v>
      </c>
    </row>
    <row r="280" spans="1:10" x14ac:dyDescent="0.25">
      <c r="A280" s="29" t="s">
        <v>164</v>
      </c>
      <c r="B280" s="30" t="s">
        <v>165</v>
      </c>
      <c r="C280" s="31" t="s">
        <v>161</v>
      </c>
      <c r="D280" s="31" t="s">
        <v>166</v>
      </c>
      <c r="E280" s="31" t="s">
        <v>163</v>
      </c>
      <c r="F280" s="32" t="s">
        <v>167</v>
      </c>
      <c r="G280" s="33" t="s">
        <v>168</v>
      </c>
      <c r="H280" s="34" t="s">
        <v>169</v>
      </c>
      <c r="I280" s="35" t="s">
        <v>170</v>
      </c>
      <c r="J280" s="2"/>
    </row>
    <row r="281" spans="1:10" ht="24" x14ac:dyDescent="0.25">
      <c r="A281" s="8" t="s">
        <v>171</v>
      </c>
      <c r="B281" s="8" t="s">
        <v>172</v>
      </c>
      <c r="C281" s="8">
        <v>88267</v>
      </c>
      <c r="D281" s="16" t="s">
        <v>278</v>
      </c>
      <c r="E281" s="8" t="s">
        <v>176</v>
      </c>
      <c r="F281" s="36">
        <v>3</v>
      </c>
      <c r="G281" s="37">
        <v>19.100000000000001</v>
      </c>
      <c r="H281" s="38">
        <f t="shared" ref="H281:H288" si="62">IF(E281="H",G281,TRUNC(G281*(1-$K$5),2))</f>
        <v>19.100000000000001</v>
      </c>
      <c r="I281" s="39">
        <f t="shared" ref="I281:I288" si="63">TRUNC(H281*F281,2)</f>
        <v>57.3</v>
      </c>
      <c r="J281" s="2"/>
    </row>
    <row r="282" spans="1:10" x14ac:dyDescent="0.25">
      <c r="A282" s="8" t="s">
        <v>171</v>
      </c>
      <c r="B282" s="8" t="s">
        <v>172</v>
      </c>
      <c r="C282" s="8">
        <v>88316</v>
      </c>
      <c r="D282" s="16" t="s">
        <v>177</v>
      </c>
      <c r="E282" s="8" t="s">
        <v>176</v>
      </c>
      <c r="F282" s="36">
        <v>3.008</v>
      </c>
      <c r="G282" s="37">
        <v>15.12</v>
      </c>
      <c r="H282" s="38">
        <f t="shared" si="62"/>
        <v>15.12</v>
      </c>
      <c r="I282" s="39">
        <f t="shared" si="63"/>
        <v>45.48</v>
      </c>
      <c r="J282" s="2"/>
    </row>
    <row r="283" spans="1:10" x14ac:dyDescent="0.25">
      <c r="A283" s="8" t="s">
        <v>77</v>
      </c>
      <c r="B283" s="8" t="s">
        <v>179</v>
      </c>
      <c r="C283" s="8" t="s">
        <v>296</v>
      </c>
      <c r="D283" s="16" t="s">
        <v>297</v>
      </c>
      <c r="E283" s="8" t="s">
        <v>10</v>
      </c>
      <c r="F283" s="36">
        <v>2.88</v>
      </c>
      <c r="G283" s="37">
        <v>0.14000000000000001</v>
      </c>
      <c r="H283" s="38">
        <f t="shared" si="62"/>
        <v>0.13</v>
      </c>
      <c r="I283" s="39">
        <f t="shared" si="63"/>
        <v>0.37</v>
      </c>
      <c r="J283" s="2"/>
    </row>
    <row r="284" spans="1:10" x14ac:dyDescent="0.25">
      <c r="A284" s="8" t="s">
        <v>77</v>
      </c>
      <c r="B284" s="8" t="s">
        <v>179</v>
      </c>
      <c r="C284" s="8" t="s">
        <v>298</v>
      </c>
      <c r="D284" s="16" t="s">
        <v>299</v>
      </c>
      <c r="E284" s="8" t="s">
        <v>163</v>
      </c>
      <c r="F284" s="36">
        <v>1</v>
      </c>
      <c r="G284" s="37">
        <v>49.5</v>
      </c>
      <c r="H284" s="38">
        <f t="shared" si="62"/>
        <v>49.49</v>
      </c>
      <c r="I284" s="39">
        <f t="shared" si="63"/>
        <v>49.49</v>
      </c>
      <c r="J284" s="2"/>
    </row>
    <row r="285" spans="1:10" x14ac:dyDescent="0.25">
      <c r="A285" s="8" t="s">
        <v>77</v>
      </c>
      <c r="B285" s="8" t="s">
        <v>179</v>
      </c>
      <c r="C285" s="8" t="s">
        <v>300</v>
      </c>
      <c r="D285" s="16" t="s">
        <v>301</v>
      </c>
      <c r="E285" s="8" t="s">
        <v>163</v>
      </c>
      <c r="F285" s="36">
        <v>1</v>
      </c>
      <c r="G285" s="37">
        <v>25.26</v>
      </c>
      <c r="H285" s="38">
        <f t="shared" si="62"/>
        <v>25.25</v>
      </c>
      <c r="I285" s="39">
        <f t="shared" si="63"/>
        <v>25.25</v>
      </c>
      <c r="J285" s="2"/>
    </row>
    <row r="286" spans="1:10" x14ac:dyDescent="0.25">
      <c r="A286" s="8" t="s">
        <v>77</v>
      </c>
      <c r="B286" s="8" t="s">
        <v>179</v>
      </c>
      <c r="C286" s="8" t="s">
        <v>302</v>
      </c>
      <c r="D286" s="16" t="s">
        <v>303</v>
      </c>
      <c r="E286" s="8" t="s">
        <v>163</v>
      </c>
      <c r="F286" s="36">
        <v>1</v>
      </c>
      <c r="G286" s="37">
        <v>92.86</v>
      </c>
      <c r="H286" s="38">
        <f t="shared" si="62"/>
        <v>92.85</v>
      </c>
      <c r="I286" s="39">
        <f t="shared" si="63"/>
        <v>92.85</v>
      </c>
      <c r="J286" s="2"/>
    </row>
    <row r="287" spans="1:10" x14ac:dyDescent="0.25">
      <c r="A287" s="8" t="s">
        <v>77</v>
      </c>
      <c r="B287" s="8" t="s">
        <v>179</v>
      </c>
      <c r="C287" s="8" t="s">
        <v>304</v>
      </c>
      <c r="D287" s="16" t="s">
        <v>305</v>
      </c>
      <c r="E287" s="8" t="s">
        <v>163</v>
      </c>
      <c r="F287" s="36">
        <v>1</v>
      </c>
      <c r="G287" s="37">
        <v>145</v>
      </c>
      <c r="H287" s="38">
        <f t="shared" si="62"/>
        <v>144.97999999999999</v>
      </c>
      <c r="I287" s="39">
        <f t="shared" si="63"/>
        <v>144.97999999999999</v>
      </c>
      <c r="J287" s="2"/>
    </row>
    <row r="288" spans="1:10" x14ac:dyDescent="0.25">
      <c r="A288" s="8" t="s">
        <v>77</v>
      </c>
      <c r="B288" s="8" t="s">
        <v>179</v>
      </c>
      <c r="C288" s="8" t="s">
        <v>306</v>
      </c>
      <c r="D288" s="16" t="s">
        <v>307</v>
      </c>
      <c r="E288" s="8" t="s">
        <v>163</v>
      </c>
      <c r="F288" s="36">
        <v>1</v>
      </c>
      <c r="G288" s="37">
        <v>16.2</v>
      </c>
      <c r="H288" s="38">
        <f t="shared" si="62"/>
        <v>16.190000000000001</v>
      </c>
      <c r="I288" s="39">
        <f t="shared" si="63"/>
        <v>16.190000000000001</v>
      </c>
      <c r="J288" s="2"/>
    </row>
    <row r="289" spans="1:10" x14ac:dyDescent="0.25">
      <c r="A289" s="155" t="s">
        <v>173</v>
      </c>
      <c r="B289" s="155"/>
      <c r="C289" s="155"/>
      <c r="D289" s="155"/>
      <c r="E289" s="155"/>
      <c r="F289" s="155"/>
      <c r="G289" s="155"/>
      <c r="H289" s="155"/>
      <c r="I289" s="41">
        <f>SUM(I281:I288)</f>
        <v>431.91</v>
      </c>
      <c r="J289" s="2"/>
    </row>
    <row r="290" spans="1:10" x14ac:dyDescent="0.25">
      <c r="A290" s="148"/>
      <c r="B290" s="149"/>
      <c r="C290" s="149"/>
      <c r="D290" s="149"/>
      <c r="E290" s="149"/>
      <c r="F290" s="149"/>
      <c r="G290" s="149"/>
      <c r="H290" s="149"/>
      <c r="I290" s="150"/>
      <c r="J290" s="2"/>
    </row>
    <row r="291" spans="1:10" x14ac:dyDescent="0.25">
      <c r="A291" s="22" t="s">
        <v>161</v>
      </c>
      <c r="B291" s="151" t="s">
        <v>162</v>
      </c>
      <c r="C291" s="152"/>
      <c r="D291" s="152"/>
      <c r="E291" s="152"/>
      <c r="F291" s="152"/>
      <c r="G291" s="152"/>
      <c r="H291" s="153"/>
      <c r="I291" s="40" t="s">
        <v>163</v>
      </c>
      <c r="J291" s="2"/>
    </row>
    <row r="292" spans="1:10" ht="15" customHeight="1" x14ac:dyDescent="0.25">
      <c r="A292" s="26" t="s">
        <v>55</v>
      </c>
      <c r="B292" s="154" t="str">
        <f>VLOOKUP(A292,planilha!$B$7:$F$696,3,FALSE)</f>
        <v>Chuveiro em PVC</v>
      </c>
      <c r="C292" s="154"/>
      <c r="D292" s="154"/>
      <c r="E292" s="154"/>
      <c r="F292" s="154"/>
      <c r="G292" s="154"/>
      <c r="H292" s="154"/>
      <c r="I292" s="27" t="str">
        <f>VLOOKUP(A292,planilha!$B$7:$F$696,5,FALSE)</f>
        <v>UN</v>
      </c>
      <c r="J292" s="28">
        <f>I298</f>
        <v>21.049999999999997</v>
      </c>
    </row>
    <row r="293" spans="1:10" x14ac:dyDescent="0.25">
      <c r="A293" s="29" t="s">
        <v>164</v>
      </c>
      <c r="B293" s="30" t="s">
        <v>165</v>
      </c>
      <c r="C293" s="31" t="s">
        <v>161</v>
      </c>
      <c r="D293" s="31" t="s">
        <v>166</v>
      </c>
      <c r="E293" s="31" t="s">
        <v>163</v>
      </c>
      <c r="F293" s="32" t="s">
        <v>167</v>
      </c>
      <c r="G293" s="33" t="s">
        <v>168</v>
      </c>
      <c r="H293" s="34" t="s">
        <v>169</v>
      </c>
      <c r="I293" s="35" t="s">
        <v>170</v>
      </c>
      <c r="J293" s="2"/>
    </row>
    <row r="294" spans="1:10" ht="24" x14ac:dyDescent="0.25">
      <c r="A294" s="8" t="s">
        <v>171</v>
      </c>
      <c r="B294" s="8" t="s">
        <v>172</v>
      </c>
      <c r="C294" s="8">
        <v>88267</v>
      </c>
      <c r="D294" s="16" t="s">
        <v>278</v>
      </c>
      <c r="E294" s="8" t="s">
        <v>176</v>
      </c>
      <c r="F294" s="36">
        <v>0.4</v>
      </c>
      <c r="G294" s="37">
        <v>19.100000000000001</v>
      </c>
      <c r="H294" s="38">
        <f t="shared" ref="H294:H297" si="64">IF(E294="H",G294,TRUNC(G294*(1-$K$5),2))</f>
        <v>19.100000000000001</v>
      </c>
      <c r="I294" s="39">
        <f t="shared" ref="I294:I297" si="65">TRUNC(H294*F294,2)</f>
        <v>7.64</v>
      </c>
      <c r="J294" s="2"/>
    </row>
    <row r="295" spans="1:10" x14ac:dyDescent="0.25">
      <c r="A295" s="8" t="s">
        <v>171</v>
      </c>
      <c r="B295" s="8" t="s">
        <v>172</v>
      </c>
      <c r="C295" s="8">
        <v>88316</v>
      </c>
      <c r="D295" s="16" t="s">
        <v>177</v>
      </c>
      <c r="E295" s="8" t="s">
        <v>176</v>
      </c>
      <c r="F295" s="36">
        <v>0.39</v>
      </c>
      <c r="G295" s="37">
        <v>15.12</v>
      </c>
      <c r="H295" s="38">
        <f t="shared" si="64"/>
        <v>15.12</v>
      </c>
      <c r="I295" s="39">
        <f t="shared" si="65"/>
        <v>5.89</v>
      </c>
      <c r="J295" s="2"/>
    </row>
    <row r="296" spans="1:10" x14ac:dyDescent="0.25">
      <c r="A296" s="8" t="s">
        <v>77</v>
      </c>
      <c r="B296" s="8" t="s">
        <v>179</v>
      </c>
      <c r="C296" s="8" t="s">
        <v>296</v>
      </c>
      <c r="D296" s="16" t="s">
        <v>297</v>
      </c>
      <c r="E296" s="8" t="s">
        <v>10</v>
      </c>
      <c r="F296" s="36">
        <v>0.28000000000000003</v>
      </c>
      <c r="G296" s="37">
        <v>0.14000000000000001</v>
      </c>
      <c r="H296" s="38">
        <f t="shared" si="64"/>
        <v>0.13</v>
      </c>
      <c r="I296" s="39">
        <f t="shared" si="65"/>
        <v>0.03</v>
      </c>
      <c r="J296" s="2"/>
    </row>
    <row r="297" spans="1:10" x14ac:dyDescent="0.25">
      <c r="A297" s="8" t="s">
        <v>77</v>
      </c>
      <c r="B297" s="8" t="s">
        <v>179</v>
      </c>
      <c r="C297" s="8" t="s">
        <v>308</v>
      </c>
      <c r="D297" s="16" t="s">
        <v>148</v>
      </c>
      <c r="E297" s="8" t="s">
        <v>163</v>
      </c>
      <c r="F297" s="36">
        <v>1</v>
      </c>
      <c r="G297" s="37">
        <v>7.5</v>
      </c>
      <c r="H297" s="38">
        <f t="shared" si="64"/>
        <v>7.49</v>
      </c>
      <c r="I297" s="39">
        <f t="shared" si="65"/>
        <v>7.49</v>
      </c>
      <c r="J297" s="2"/>
    </row>
    <row r="298" spans="1:10" x14ac:dyDescent="0.25">
      <c r="A298" s="155" t="s">
        <v>173</v>
      </c>
      <c r="B298" s="155"/>
      <c r="C298" s="155"/>
      <c r="D298" s="155"/>
      <c r="E298" s="155"/>
      <c r="F298" s="155"/>
      <c r="G298" s="155"/>
      <c r="H298" s="155"/>
      <c r="I298" s="41">
        <f>SUM(I294:I297)</f>
        <v>21.049999999999997</v>
      </c>
      <c r="J298" s="2"/>
    </row>
    <row r="299" spans="1:10" x14ac:dyDescent="0.25">
      <c r="A299" s="148"/>
      <c r="B299" s="149"/>
      <c r="C299" s="149"/>
      <c r="D299" s="149"/>
      <c r="E299" s="149"/>
      <c r="F299" s="149"/>
      <c r="G299" s="149"/>
      <c r="H299" s="149"/>
      <c r="I299" s="150"/>
      <c r="J299" s="2"/>
    </row>
    <row r="300" spans="1:10" x14ac:dyDescent="0.25">
      <c r="A300" s="22" t="s">
        <v>161</v>
      </c>
      <c r="B300" s="151" t="s">
        <v>162</v>
      </c>
      <c r="C300" s="152"/>
      <c r="D300" s="152"/>
      <c r="E300" s="152"/>
      <c r="F300" s="152"/>
      <c r="G300" s="152"/>
      <c r="H300" s="153"/>
      <c r="I300" s="40" t="s">
        <v>163</v>
      </c>
      <c r="J300" s="2"/>
    </row>
    <row r="301" spans="1:10" x14ac:dyDescent="0.25">
      <c r="A301" s="26" t="str">
        <f>planilha!B55</f>
        <v>090062</v>
      </c>
      <c r="B301" s="154" t="str">
        <f>VLOOKUP(A301,planilha!$B$7:$F$696,3,FALSE)</f>
        <v>Porta mad. compens. c/ caix. aduela e alizar</v>
      </c>
      <c r="C301" s="154"/>
      <c r="D301" s="154"/>
      <c r="E301" s="154"/>
      <c r="F301" s="154"/>
      <c r="G301" s="154"/>
      <c r="H301" s="154"/>
      <c r="I301" s="27" t="str">
        <f>VLOOKUP(A301,planilha!$B$7:$F$696,5,FALSE)</f>
        <v>m²</v>
      </c>
      <c r="J301" s="28">
        <f>I309</f>
        <v>413.59000000000003</v>
      </c>
    </row>
    <row r="302" spans="1:10" x14ac:dyDescent="0.25">
      <c r="A302" s="29" t="s">
        <v>164</v>
      </c>
      <c r="B302" s="30" t="s">
        <v>165</v>
      </c>
      <c r="C302" s="31" t="s">
        <v>161</v>
      </c>
      <c r="D302" s="31" t="s">
        <v>166</v>
      </c>
      <c r="E302" s="31" t="s">
        <v>163</v>
      </c>
      <c r="F302" s="32" t="s">
        <v>167</v>
      </c>
      <c r="G302" s="33" t="s">
        <v>168</v>
      </c>
      <c r="H302" s="34" t="s">
        <v>169</v>
      </c>
      <c r="I302" s="35" t="s">
        <v>170</v>
      </c>
      <c r="J302" s="2"/>
    </row>
    <row r="303" spans="1:10" ht="24" x14ac:dyDescent="0.25">
      <c r="A303" s="8" t="s">
        <v>171</v>
      </c>
      <c r="B303" s="8" t="s">
        <v>172</v>
      </c>
      <c r="C303" s="8">
        <v>88262</v>
      </c>
      <c r="D303" s="16" t="s">
        <v>175</v>
      </c>
      <c r="E303" s="8" t="s">
        <v>176</v>
      </c>
      <c r="F303" s="36">
        <v>3.8450000000000002</v>
      </c>
      <c r="G303" s="37">
        <v>19.03</v>
      </c>
      <c r="H303" s="38">
        <f t="shared" ref="H303:H305" si="66">IF(E303="H",G303,TRUNC(G303*(1-$K$5),2))</f>
        <v>19.03</v>
      </c>
      <c r="I303" s="39">
        <f t="shared" ref="I303:I305" si="67">TRUNC(H303*F303,2)</f>
        <v>73.17</v>
      </c>
      <c r="J303" s="2"/>
    </row>
    <row r="304" spans="1:10" x14ac:dyDescent="0.25">
      <c r="A304" s="8" t="s">
        <v>171</v>
      </c>
      <c r="B304" s="8" t="s">
        <v>172</v>
      </c>
      <c r="C304" s="8">
        <v>88316</v>
      </c>
      <c r="D304" s="16" t="s">
        <v>177</v>
      </c>
      <c r="E304" s="8" t="s">
        <v>176</v>
      </c>
      <c r="F304" s="36">
        <v>1</v>
      </c>
      <c r="G304" s="37">
        <v>15.12</v>
      </c>
      <c r="H304" s="38">
        <f t="shared" si="66"/>
        <v>15.12</v>
      </c>
      <c r="I304" s="39">
        <f t="shared" si="67"/>
        <v>15.12</v>
      </c>
      <c r="J304" s="2"/>
    </row>
    <row r="305" spans="1:10" x14ac:dyDescent="0.25">
      <c r="A305" s="8" t="s">
        <v>171</v>
      </c>
      <c r="B305" s="8" t="s">
        <v>172</v>
      </c>
      <c r="C305" s="8">
        <v>88309</v>
      </c>
      <c r="D305" s="16" t="s">
        <v>224</v>
      </c>
      <c r="E305" s="8" t="s">
        <v>176</v>
      </c>
      <c r="F305" s="36">
        <v>0.2</v>
      </c>
      <c r="G305" s="37">
        <v>19.14</v>
      </c>
      <c r="H305" s="38">
        <f t="shared" si="66"/>
        <v>19.14</v>
      </c>
      <c r="I305" s="39">
        <f t="shared" si="67"/>
        <v>3.82</v>
      </c>
      <c r="J305" s="2"/>
    </row>
    <row r="306" spans="1:10" x14ac:dyDescent="0.25">
      <c r="A306" s="8" t="s">
        <v>77</v>
      </c>
      <c r="B306" s="8" t="s">
        <v>179</v>
      </c>
      <c r="C306" s="8" t="s">
        <v>309</v>
      </c>
      <c r="D306" s="16" t="s">
        <v>310</v>
      </c>
      <c r="E306" s="8" t="s">
        <v>218</v>
      </c>
      <c r="F306" s="36">
        <v>1</v>
      </c>
      <c r="G306" s="37">
        <v>130</v>
      </c>
      <c r="H306" s="38">
        <f t="shared" ref="H306:H308" si="68">IF(E306="H",G306,TRUNC(G306*(1-$K$5),2))</f>
        <v>129.97999999999999</v>
      </c>
      <c r="I306" s="39">
        <f t="shared" ref="I306:I308" si="69">TRUNC(H306*F306,2)</f>
        <v>129.97999999999999</v>
      </c>
      <c r="J306" s="2"/>
    </row>
    <row r="307" spans="1:10" x14ac:dyDescent="0.25">
      <c r="A307" s="8" t="s">
        <v>77</v>
      </c>
      <c r="B307" s="8" t="s">
        <v>179</v>
      </c>
      <c r="C307" s="8" t="s">
        <v>311</v>
      </c>
      <c r="D307" s="16" t="s">
        <v>312</v>
      </c>
      <c r="E307" s="8" t="s">
        <v>10</v>
      </c>
      <c r="F307" s="36">
        <v>6</v>
      </c>
      <c r="G307" s="37">
        <v>13.39</v>
      </c>
      <c r="H307" s="38">
        <f t="shared" si="68"/>
        <v>13.38</v>
      </c>
      <c r="I307" s="39">
        <f t="shared" si="69"/>
        <v>80.28</v>
      </c>
      <c r="J307" s="2"/>
    </row>
    <row r="308" spans="1:10" x14ac:dyDescent="0.25">
      <c r="A308" s="8" t="s">
        <v>77</v>
      </c>
      <c r="B308" s="8" t="s">
        <v>179</v>
      </c>
      <c r="C308" s="8" t="s">
        <v>313</v>
      </c>
      <c r="D308" s="16" t="s">
        <v>314</v>
      </c>
      <c r="E308" s="8" t="s">
        <v>218</v>
      </c>
      <c r="F308" s="36">
        <v>0.6</v>
      </c>
      <c r="G308" s="37">
        <v>185.4</v>
      </c>
      <c r="H308" s="38">
        <f t="shared" si="68"/>
        <v>185.38</v>
      </c>
      <c r="I308" s="39">
        <f t="shared" si="69"/>
        <v>111.22</v>
      </c>
      <c r="J308" s="2"/>
    </row>
    <row r="309" spans="1:10" x14ac:dyDescent="0.25">
      <c r="A309" s="155" t="s">
        <v>173</v>
      </c>
      <c r="B309" s="155"/>
      <c r="C309" s="155"/>
      <c r="D309" s="155"/>
      <c r="E309" s="155"/>
      <c r="F309" s="155"/>
      <c r="G309" s="155"/>
      <c r="H309" s="155"/>
      <c r="I309" s="41">
        <f>SUM(I303:I308)</f>
        <v>413.59000000000003</v>
      </c>
      <c r="J309" s="2"/>
    </row>
    <row r="310" spans="1:10" x14ac:dyDescent="0.25">
      <c r="A310" s="148"/>
      <c r="B310" s="149"/>
      <c r="C310" s="149"/>
      <c r="D310" s="149"/>
      <c r="E310" s="149"/>
      <c r="F310" s="149"/>
      <c r="G310" s="149"/>
      <c r="H310" s="149"/>
      <c r="I310" s="150"/>
      <c r="J310" s="2"/>
    </row>
    <row r="311" spans="1:10" x14ac:dyDescent="0.25">
      <c r="A311" s="22" t="s">
        <v>161</v>
      </c>
      <c r="B311" s="151" t="s">
        <v>162</v>
      </c>
      <c r="C311" s="152"/>
      <c r="D311" s="152"/>
      <c r="E311" s="152"/>
      <c r="F311" s="152"/>
      <c r="G311" s="152"/>
      <c r="H311" s="153"/>
      <c r="I311" s="40" t="s">
        <v>163</v>
      </c>
      <c r="J311" s="2"/>
    </row>
    <row r="312" spans="1:10" x14ac:dyDescent="0.25">
      <c r="A312" s="26" t="str">
        <f>planilha!B56</f>
        <v>100226</v>
      </c>
      <c r="B312" s="154" t="str">
        <f>VLOOKUP(A312,planilha!$B$7:$F$696,3,FALSE)</f>
        <v>Ferragens p/ porta externa 1 fl.</v>
      </c>
      <c r="C312" s="154"/>
      <c r="D312" s="154"/>
      <c r="E312" s="154"/>
      <c r="F312" s="154"/>
      <c r="G312" s="154"/>
      <c r="H312" s="154"/>
      <c r="I312" s="27" t="str">
        <f>VLOOKUP(A312,planilha!$B$7:$F$696,5,FALSE)</f>
        <v>CJ</v>
      </c>
      <c r="J312" s="28">
        <f>I318</f>
        <v>136.31</v>
      </c>
    </row>
    <row r="313" spans="1:10" x14ac:dyDescent="0.25">
      <c r="A313" s="29" t="s">
        <v>164</v>
      </c>
      <c r="B313" s="30" t="s">
        <v>165</v>
      </c>
      <c r="C313" s="31" t="s">
        <v>161</v>
      </c>
      <c r="D313" s="31" t="s">
        <v>166</v>
      </c>
      <c r="E313" s="31" t="s">
        <v>163</v>
      </c>
      <c r="F313" s="32" t="s">
        <v>167</v>
      </c>
      <c r="G313" s="33" t="s">
        <v>168</v>
      </c>
      <c r="H313" s="34" t="s">
        <v>169</v>
      </c>
      <c r="I313" s="35" t="s">
        <v>170</v>
      </c>
      <c r="J313" s="2"/>
    </row>
    <row r="314" spans="1:10" ht="24" x14ac:dyDescent="0.25">
      <c r="A314" s="8" t="s">
        <v>171</v>
      </c>
      <c r="B314" s="8" t="s">
        <v>172</v>
      </c>
      <c r="C314" s="8">
        <v>88262</v>
      </c>
      <c r="D314" s="16" t="s">
        <v>175</v>
      </c>
      <c r="E314" s="8" t="s">
        <v>176</v>
      </c>
      <c r="F314" s="36">
        <v>1.65</v>
      </c>
      <c r="G314" s="37">
        <v>19.03</v>
      </c>
      <c r="H314" s="38">
        <f t="shared" ref="H314:H317" si="70">IF(E314="H",G314,TRUNC(G314*(1-$K$5),2))</f>
        <v>19.03</v>
      </c>
      <c r="I314" s="39">
        <f t="shared" ref="I314:I317" si="71">TRUNC(H314*F314,2)</f>
        <v>31.39</v>
      </c>
      <c r="J314" s="2"/>
    </row>
    <row r="315" spans="1:10" x14ac:dyDescent="0.25">
      <c r="A315" s="8" t="s">
        <v>171</v>
      </c>
      <c r="B315" s="8" t="s">
        <v>172</v>
      </c>
      <c r="C315" s="8">
        <v>88316</v>
      </c>
      <c r="D315" s="16" t="s">
        <v>177</v>
      </c>
      <c r="E315" s="8" t="s">
        <v>176</v>
      </c>
      <c r="F315" s="36">
        <v>0.15</v>
      </c>
      <c r="G315" s="37">
        <v>15.12</v>
      </c>
      <c r="H315" s="38">
        <f t="shared" si="70"/>
        <v>15.12</v>
      </c>
      <c r="I315" s="39">
        <f t="shared" si="71"/>
        <v>2.2599999999999998</v>
      </c>
      <c r="J315" s="2"/>
    </row>
    <row r="316" spans="1:10" x14ac:dyDescent="0.25">
      <c r="A316" s="8" t="s">
        <v>77</v>
      </c>
      <c r="B316" s="8" t="s">
        <v>179</v>
      </c>
      <c r="C316" s="8" t="s">
        <v>315</v>
      </c>
      <c r="D316" s="16" t="s">
        <v>316</v>
      </c>
      <c r="E316" s="8" t="s">
        <v>163</v>
      </c>
      <c r="F316" s="36">
        <v>3</v>
      </c>
      <c r="G316" s="37">
        <v>14.3</v>
      </c>
      <c r="H316" s="38">
        <f t="shared" si="70"/>
        <v>14.29</v>
      </c>
      <c r="I316" s="39">
        <f t="shared" si="71"/>
        <v>42.87</v>
      </c>
      <c r="J316" s="2"/>
    </row>
    <row r="317" spans="1:10" x14ac:dyDescent="0.25">
      <c r="A317" s="8" t="s">
        <v>77</v>
      </c>
      <c r="B317" s="8" t="s">
        <v>179</v>
      </c>
      <c r="C317" s="8" t="s">
        <v>317</v>
      </c>
      <c r="D317" s="16" t="s">
        <v>318</v>
      </c>
      <c r="E317" s="8" t="s">
        <v>163</v>
      </c>
      <c r="F317" s="36">
        <v>1</v>
      </c>
      <c r="G317" s="37">
        <v>59.8</v>
      </c>
      <c r="H317" s="38">
        <f t="shared" si="70"/>
        <v>59.79</v>
      </c>
      <c r="I317" s="39">
        <f t="shared" si="71"/>
        <v>59.79</v>
      </c>
      <c r="J317" s="2"/>
    </row>
    <row r="318" spans="1:10" x14ac:dyDescent="0.25">
      <c r="A318" s="155" t="s">
        <v>173</v>
      </c>
      <c r="B318" s="155"/>
      <c r="C318" s="155"/>
      <c r="D318" s="155"/>
      <c r="E318" s="155"/>
      <c r="F318" s="155"/>
      <c r="G318" s="155"/>
      <c r="H318" s="155"/>
      <c r="I318" s="41">
        <f>SUM(I314:I317)</f>
        <v>136.31</v>
      </c>
      <c r="J318" s="2"/>
    </row>
    <row r="319" spans="1:10" x14ac:dyDescent="0.25">
      <c r="A319" s="148"/>
      <c r="B319" s="149"/>
      <c r="C319" s="149"/>
      <c r="D319" s="149"/>
      <c r="E319" s="149"/>
      <c r="F319" s="149"/>
      <c r="G319" s="149"/>
      <c r="H319" s="149"/>
      <c r="I319" s="150"/>
      <c r="J319" s="2"/>
    </row>
    <row r="320" spans="1:10" x14ac:dyDescent="0.25">
      <c r="A320" s="22" t="s">
        <v>161</v>
      </c>
      <c r="B320" s="151" t="s">
        <v>162</v>
      </c>
      <c r="C320" s="152"/>
      <c r="D320" s="152"/>
      <c r="E320" s="152"/>
      <c r="F320" s="152"/>
      <c r="G320" s="152"/>
      <c r="H320" s="153"/>
      <c r="I320" s="40" t="s">
        <v>163</v>
      </c>
      <c r="J320" s="2"/>
    </row>
    <row r="321" spans="1:10" ht="15" customHeight="1" x14ac:dyDescent="0.25">
      <c r="A321" s="26" t="s">
        <v>6</v>
      </c>
      <c r="B321" s="154" t="str">
        <f>VLOOKUP(A321,planilha!$B$7:$F$696,3,FALSE)</f>
        <v>Fechadura para porta de banheiro</v>
      </c>
      <c r="C321" s="154"/>
      <c r="D321" s="154"/>
      <c r="E321" s="154"/>
      <c r="F321" s="154"/>
      <c r="G321" s="154"/>
      <c r="H321" s="154"/>
      <c r="I321" s="27" t="str">
        <f>VLOOKUP(A321,planilha!$B$7:$F$696,5,FALSE)</f>
        <v>UN</v>
      </c>
      <c r="J321" s="28">
        <f>I325</f>
        <v>62.01</v>
      </c>
    </row>
    <row r="322" spans="1:10" x14ac:dyDescent="0.25">
      <c r="A322" s="29" t="s">
        <v>164</v>
      </c>
      <c r="B322" s="30" t="s">
        <v>165</v>
      </c>
      <c r="C322" s="31" t="s">
        <v>161</v>
      </c>
      <c r="D322" s="31" t="s">
        <v>166</v>
      </c>
      <c r="E322" s="31" t="s">
        <v>163</v>
      </c>
      <c r="F322" s="32" t="s">
        <v>167</v>
      </c>
      <c r="G322" s="33" t="s">
        <v>168</v>
      </c>
      <c r="H322" s="34" t="s">
        <v>169</v>
      </c>
      <c r="I322" s="35" t="s">
        <v>170</v>
      </c>
      <c r="J322" s="2"/>
    </row>
    <row r="323" spans="1:10" ht="24" x14ac:dyDescent="0.25">
      <c r="A323" s="8" t="s">
        <v>171</v>
      </c>
      <c r="B323" s="8" t="s">
        <v>172</v>
      </c>
      <c r="C323" s="8">
        <v>88262</v>
      </c>
      <c r="D323" s="16" t="s">
        <v>175</v>
      </c>
      <c r="E323" s="8" t="s">
        <v>176</v>
      </c>
      <c r="F323" s="36">
        <v>0.90500000000000003</v>
      </c>
      <c r="G323" s="37">
        <v>19.03</v>
      </c>
      <c r="H323" s="38">
        <f t="shared" ref="H323:H324" si="72">IF(E323="H",G323,TRUNC(G323*(1-$K$5),2))</f>
        <v>19.03</v>
      </c>
      <c r="I323" s="39">
        <f t="shared" ref="I323:I324" si="73">TRUNC(H323*F323,2)</f>
        <v>17.22</v>
      </c>
      <c r="J323" s="2"/>
    </row>
    <row r="324" spans="1:10" x14ac:dyDescent="0.25">
      <c r="A324" s="8" t="s">
        <v>77</v>
      </c>
      <c r="B324" s="8" t="s">
        <v>179</v>
      </c>
      <c r="C324" s="8" t="s">
        <v>319</v>
      </c>
      <c r="D324" s="16" t="s">
        <v>320</v>
      </c>
      <c r="E324" s="8" t="s">
        <v>163</v>
      </c>
      <c r="F324" s="36">
        <v>1</v>
      </c>
      <c r="G324" s="37">
        <v>44.8</v>
      </c>
      <c r="H324" s="38">
        <f t="shared" si="72"/>
        <v>44.79</v>
      </c>
      <c r="I324" s="39">
        <f t="shared" si="73"/>
        <v>44.79</v>
      </c>
      <c r="J324" s="2"/>
    </row>
    <row r="325" spans="1:10" x14ac:dyDescent="0.25">
      <c r="A325" s="155" t="s">
        <v>173</v>
      </c>
      <c r="B325" s="155"/>
      <c r="C325" s="155"/>
      <c r="D325" s="155"/>
      <c r="E325" s="155"/>
      <c r="F325" s="155"/>
      <c r="G325" s="155"/>
      <c r="H325" s="155"/>
      <c r="I325" s="41">
        <f>SUM(I323:I324)</f>
        <v>62.01</v>
      </c>
      <c r="J325" s="2"/>
    </row>
    <row r="326" spans="1:10" x14ac:dyDescent="0.25">
      <c r="A326" s="148"/>
      <c r="B326" s="149"/>
      <c r="C326" s="149"/>
      <c r="D326" s="149"/>
      <c r="E326" s="149"/>
      <c r="F326" s="149"/>
      <c r="G326" s="149"/>
      <c r="H326" s="149"/>
      <c r="I326" s="150"/>
      <c r="J326" s="2"/>
    </row>
    <row r="327" spans="1:10" x14ac:dyDescent="0.25">
      <c r="A327" s="22" t="s">
        <v>161</v>
      </c>
      <c r="B327" s="151" t="s">
        <v>162</v>
      </c>
      <c r="C327" s="152"/>
      <c r="D327" s="152"/>
      <c r="E327" s="152"/>
      <c r="F327" s="152"/>
      <c r="G327" s="152"/>
      <c r="H327" s="153"/>
      <c r="I327" s="40" t="s">
        <v>163</v>
      </c>
      <c r="J327" s="2"/>
    </row>
    <row r="328" spans="1:10" x14ac:dyDescent="0.25">
      <c r="A328" s="26" t="str">
        <f>planilha!B58</f>
        <v>100817</v>
      </c>
      <c r="B328" s="154" t="str">
        <f>VLOOKUP(A328,planilha!$B$7:$F$696,3,FALSE)</f>
        <v>Fechadura para porta externa</v>
      </c>
      <c r="C328" s="154"/>
      <c r="D328" s="154"/>
      <c r="E328" s="154"/>
      <c r="F328" s="154"/>
      <c r="G328" s="154"/>
      <c r="H328" s="154"/>
      <c r="I328" s="27" t="str">
        <f>VLOOKUP(A328,planilha!$B$7:$F$696,5,FALSE)</f>
        <v>UN</v>
      </c>
      <c r="J328" s="28">
        <f>I332</f>
        <v>77.06</v>
      </c>
    </row>
    <row r="329" spans="1:10" x14ac:dyDescent="0.25">
      <c r="A329" s="29" t="s">
        <v>164</v>
      </c>
      <c r="B329" s="30" t="s">
        <v>165</v>
      </c>
      <c r="C329" s="31" t="s">
        <v>161</v>
      </c>
      <c r="D329" s="31" t="s">
        <v>166</v>
      </c>
      <c r="E329" s="31" t="s">
        <v>163</v>
      </c>
      <c r="F329" s="32" t="s">
        <v>167</v>
      </c>
      <c r="G329" s="33" t="s">
        <v>168</v>
      </c>
      <c r="H329" s="34" t="s">
        <v>169</v>
      </c>
      <c r="I329" s="35" t="s">
        <v>170</v>
      </c>
      <c r="J329" s="2"/>
    </row>
    <row r="330" spans="1:10" ht="24" x14ac:dyDescent="0.25">
      <c r="A330" s="8" t="s">
        <v>171</v>
      </c>
      <c r="B330" s="8" t="s">
        <v>172</v>
      </c>
      <c r="C330" s="8">
        <v>88262</v>
      </c>
      <c r="D330" s="16" t="s">
        <v>175</v>
      </c>
      <c r="E330" s="8" t="s">
        <v>176</v>
      </c>
      <c r="F330" s="36">
        <v>0.90800000000000003</v>
      </c>
      <c r="G330" s="37">
        <v>19.03</v>
      </c>
      <c r="H330" s="38">
        <f t="shared" ref="H330:H331" si="74">IF(E330="H",G330,TRUNC(G330*(1-$K$5),2))</f>
        <v>19.03</v>
      </c>
      <c r="I330" s="39">
        <f t="shared" ref="I330:I331" si="75">TRUNC(H330*F330,2)</f>
        <v>17.27</v>
      </c>
      <c r="J330" s="2"/>
    </row>
    <row r="331" spans="1:10" x14ac:dyDescent="0.25">
      <c r="A331" s="8" t="s">
        <v>77</v>
      </c>
      <c r="B331" s="8" t="s">
        <v>179</v>
      </c>
      <c r="C331" s="8" t="s">
        <v>317</v>
      </c>
      <c r="D331" s="16" t="s">
        <v>318</v>
      </c>
      <c r="E331" s="8" t="s">
        <v>163</v>
      </c>
      <c r="F331" s="36">
        <v>1</v>
      </c>
      <c r="G331" s="37">
        <v>59.8</v>
      </c>
      <c r="H331" s="38">
        <f t="shared" si="74"/>
        <v>59.79</v>
      </c>
      <c r="I331" s="39">
        <f t="shared" si="75"/>
        <v>59.79</v>
      </c>
      <c r="J331" s="2"/>
    </row>
    <row r="332" spans="1:10" x14ac:dyDescent="0.25">
      <c r="A332" s="155" t="s">
        <v>173</v>
      </c>
      <c r="B332" s="155"/>
      <c r="C332" s="155"/>
      <c r="D332" s="155"/>
      <c r="E332" s="155"/>
      <c r="F332" s="155"/>
      <c r="G332" s="155"/>
      <c r="H332" s="155"/>
      <c r="I332" s="41">
        <f>SUM(I330:I331)</f>
        <v>77.06</v>
      </c>
      <c r="J332" s="2"/>
    </row>
    <row r="333" spans="1:10" x14ac:dyDescent="0.25">
      <c r="A333" s="148"/>
      <c r="B333" s="149"/>
      <c r="C333" s="149"/>
      <c r="D333" s="149"/>
      <c r="E333" s="149"/>
      <c r="F333" s="149"/>
      <c r="G333" s="149"/>
      <c r="H333" s="149"/>
      <c r="I333" s="150"/>
      <c r="J333" s="2"/>
    </row>
    <row r="334" spans="1:10" x14ac:dyDescent="0.25">
      <c r="A334" s="22" t="s">
        <v>161</v>
      </c>
      <c r="B334" s="151" t="s">
        <v>162</v>
      </c>
      <c r="C334" s="152"/>
      <c r="D334" s="152"/>
      <c r="E334" s="152"/>
      <c r="F334" s="152"/>
      <c r="G334" s="152"/>
      <c r="H334" s="153"/>
      <c r="I334" s="40" t="s">
        <v>163</v>
      </c>
      <c r="J334" s="2"/>
    </row>
    <row r="335" spans="1:10" ht="15" customHeight="1" x14ac:dyDescent="0.25">
      <c r="A335" s="26" t="s">
        <v>84</v>
      </c>
      <c r="B335" s="154" t="str">
        <f>VLOOKUP(A335,planilha!$B$7:$F$696,3,FALSE)</f>
        <v>Limpeza geral e entrega da obra</v>
      </c>
      <c r="C335" s="154"/>
      <c r="D335" s="154"/>
      <c r="E335" s="154"/>
      <c r="F335" s="154"/>
      <c r="G335" s="154"/>
      <c r="H335" s="154"/>
      <c r="I335" s="27" t="str">
        <f>VLOOKUP(A335,planilha!$B$7:$F$696,5,FALSE)</f>
        <v>m²</v>
      </c>
      <c r="J335" s="28">
        <f>I338</f>
        <v>4.53</v>
      </c>
    </row>
    <row r="336" spans="1:10" x14ac:dyDescent="0.25">
      <c r="A336" s="29" t="s">
        <v>164</v>
      </c>
      <c r="B336" s="30" t="s">
        <v>165</v>
      </c>
      <c r="C336" s="31" t="s">
        <v>161</v>
      </c>
      <c r="D336" s="31" t="s">
        <v>166</v>
      </c>
      <c r="E336" s="31" t="s">
        <v>163</v>
      </c>
      <c r="F336" s="32" t="s">
        <v>167</v>
      </c>
      <c r="G336" s="33" t="s">
        <v>168</v>
      </c>
      <c r="H336" s="34" t="s">
        <v>169</v>
      </c>
      <c r="I336" s="35" t="s">
        <v>170</v>
      </c>
      <c r="J336" s="2"/>
    </row>
    <row r="337" spans="1:10" x14ac:dyDescent="0.25">
      <c r="A337" s="8" t="s">
        <v>171</v>
      </c>
      <c r="B337" s="8" t="s">
        <v>172</v>
      </c>
      <c r="C337" s="8">
        <v>88316</v>
      </c>
      <c r="D337" s="16" t="s">
        <v>177</v>
      </c>
      <c r="E337" s="8" t="s">
        <v>176</v>
      </c>
      <c r="F337" s="36">
        <v>0.3</v>
      </c>
      <c r="G337" s="37">
        <v>15.12</v>
      </c>
      <c r="H337" s="38">
        <f t="shared" ref="H337" si="76">IF(E337="H",G337,TRUNC(G337*(1-$K$5),2))</f>
        <v>15.12</v>
      </c>
      <c r="I337" s="39">
        <f t="shared" ref="I337" si="77">TRUNC(H337*F337,2)</f>
        <v>4.53</v>
      </c>
      <c r="J337" s="2"/>
    </row>
    <row r="338" spans="1:10" x14ac:dyDescent="0.25">
      <c r="A338" s="155" t="s">
        <v>173</v>
      </c>
      <c r="B338" s="155"/>
      <c r="C338" s="155"/>
      <c r="D338" s="155"/>
      <c r="E338" s="155"/>
      <c r="F338" s="155"/>
      <c r="G338" s="155"/>
      <c r="H338" s="155"/>
      <c r="I338" s="41">
        <f>SUM(I337:I337)</f>
        <v>4.53</v>
      </c>
      <c r="J338" s="2"/>
    </row>
    <row r="339" spans="1:10" x14ac:dyDescent="0.25">
      <c r="A339" s="148"/>
      <c r="B339" s="149"/>
      <c r="C339" s="149"/>
      <c r="D339" s="149"/>
      <c r="E339" s="149"/>
      <c r="F339" s="149"/>
      <c r="G339" s="149"/>
      <c r="H339" s="149"/>
      <c r="I339" s="150"/>
      <c r="J339" s="2"/>
    </row>
    <row r="340" spans="1:10" x14ac:dyDescent="0.25">
      <c r="A340" s="22" t="s">
        <v>161</v>
      </c>
      <c r="B340" s="151" t="s">
        <v>162</v>
      </c>
      <c r="C340" s="152"/>
      <c r="D340" s="152"/>
      <c r="E340" s="152"/>
      <c r="F340" s="152"/>
      <c r="G340" s="152"/>
      <c r="H340" s="153"/>
      <c r="I340" s="40" t="s">
        <v>163</v>
      </c>
      <c r="J340" s="2"/>
    </row>
    <row r="341" spans="1:10" ht="15" customHeight="1" x14ac:dyDescent="0.25">
      <c r="A341" s="26" t="str">
        <f>planilha!B62</f>
        <v>00000020</v>
      </c>
      <c r="B341" s="154" t="str">
        <f>VLOOKUP(A341,planilha!$B$7:$F$696,3,FALSE)</f>
        <v>Engenheiro e Encarregado - Escola Pedro A. Cabral</v>
      </c>
      <c r="C341" s="154"/>
      <c r="D341" s="154"/>
      <c r="E341" s="154"/>
      <c r="F341" s="154"/>
      <c r="G341" s="154"/>
      <c r="H341" s="154"/>
      <c r="I341" s="27" t="str">
        <f>VLOOKUP(A341,planilha!$B$7:$F$696,5,FALSE)</f>
        <v>und</v>
      </c>
      <c r="J341" s="28">
        <f>I345</f>
        <v>9584.24</v>
      </c>
    </row>
    <row r="342" spans="1:10" x14ac:dyDescent="0.25">
      <c r="A342" s="29" t="s">
        <v>164</v>
      </c>
      <c r="B342" s="30" t="s">
        <v>165</v>
      </c>
      <c r="C342" s="31" t="s">
        <v>161</v>
      </c>
      <c r="D342" s="31" t="s">
        <v>166</v>
      </c>
      <c r="E342" s="31" t="s">
        <v>163</v>
      </c>
      <c r="F342" s="32" t="s">
        <v>167</v>
      </c>
      <c r="G342" s="33" t="s">
        <v>168</v>
      </c>
      <c r="H342" s="34" t="s">
        <v>169</v>
      </c>
      <c r="I342" s="35" t="s">
        <v>170</v>
      </c>
      <c r="J342" s="2"/>
    </row>
    <row r="343" spans="1:10" ht="24" x14ac:dyDescent="0.25">
      <c r="A343" s="8" t="s">
        <v>171</v>
      </c>
      <c r="B343" s="8" t="s">
        <v>172</v>
      </c>
      <c r="C343" s="8">
        <v>90777</v>
      </c>
      <c r="D343" s="16" t="s">
        <v>321</v>
      </c>
      <c r="E343" s="8" t="s">
        <v>176</v>
      </c>
      <c r="F343" s="36">
        <v>69.27</v>
      </c>
      <c r="G343" s="37">
        <v>82.81</v>
      </c>
      <c r="H343" s="38">
        <f t="shared" ref="H343:H344" si="78">IF(E343="H",G343,TRUNC(G343*(1-$K$5),2))</f>
        <v>82.81</v>
      </c>
      <c r="I343" s="39">
        <f t="shared" ref="I343:I344" si="79">TRUNC(H343*F343,2)</f>
        <v>5736.24</v>
      </c>
      <c r="J343" s="2"/>
    </row>
    <row r="344" spans="1:10" ht="24" x14ac:dyDescent="0.25">
      <c r="A344" s="8" t="s">
        <v>171</v>
      </c>
      <c r="B344" s="8" t="s">
        <v>172</v>
      </c>
      <c r="C344" s="8">
        <v>90776</v>
      </c>
      <c r="D344" s="16" t="s">
        <v>322</v>
      </c>
      <c r="E344" s="8" t="s">
        <v>176</v>
      </c>
      <c r="F344" s="36">
        <v>200</v>
      </c>
      <c r="G344" s="37">
        <v>19.239999999999998</v>
      </c>
      <c r="H344" s="38">
        <f t="shared" si="78"/>
        <v>19.239999999999998</v>
      </c>
      <c r="I344" s="39">
        <f t="shared" si="79"/>
        <v>3848</v>
      </c>
      <c r="J344" s="2"/>
    </row>
    <row r="345" spans="1:10" x14ac:dyDescent="0.25">
      <c r="A345" s="155" t="s">
        <v>173</v>
      </c>
      <c r="B345" s="155"/>
      <c r="C345" s="155"/>
      <c r="D345" s="155"/>
      <c r="E345" s="155"/>
      <c r="F345" s="155"/>
      <c r="G345" s="155"/>
      <c r="H345" s="155"/>
      <c r="I345" s="41">
        <f>SUM(I343:I344)</f>
        <v>9584.24</v>
      </c>
      <c r="J345" s="2"/>
    </row>
    <row r="346" spans="1:10" x14ac:dyDescent="0.25">
      <c r="A346" s="148"/>
      <c r="B346" s="149"/>
      <c r="C346" s="149"/>
      <c r="D346" s="149"/>
      <c r="E346" s="149"/>
      <c r="F346" s="149"/>
      <c r="G346" s="149"/>
      <c r="H346" s="149"/>
      <c r="I346" s="150"/>
      <c r="J346" s="2"/>
    </row>
  </sheetData>
  <mergeCells count="161">
    <mergeCell ref="B20:H20"/>
    <mergeCell ref="B21:H21"/>
    <mergeCell ref="A29:H29"/>
    <mergeCell ref="A30:I30"/>
    <mergeCell ref="B31:H31"/>
    <mergeCell ref="A1:I2"/>
    <mergeCell ref="K1:K4"/>
    <mergeCell ref="L1:O1"/>
    <mergeCell ref="L2:L3"/>
    <mergeCell ref="M2:M3"/>
    <mergeCell ref="N2:O2"/>
    <mergeCell ref="B3:I3"/>
    <mergeCell ref="G4:H4"/>
    <mergeCell ref="L5:O5"/>
    <mergeCell ref="B6:H6"/>
    <mergeCell ref="B7:H7"/>
    <mergeCell ref="A18:H18"/>
    <mergeCell ref="A19:I19"/>
    <mergeCell ref="A46:H46"/>
    <mergeCell ref="A47:I47"/>
    <mergeCell ref="B48:H48"/>
    <mergeCell ref="B49:H49"/>
    <mergeCell ref="A54:H54"/>
    <mergeCell ref="B32:H32"/>
    <mergeCell ref="A37:H37"/>
    <mergeCell ref="A38:I38"/>
    <mergeCell ref="B39:H39"/>
    <mergeCell ref="B40:H40"/>
    <mergeCell ref="B63:H63"/>
    <mergeCell ref="B64:H64"/>
    <mergeCell ref="A69:H69"/>
    <mergeCell ref="A70:I70"/>
    <mergeCell ref="B71:H71"/>
    <mergeCell ref="A55:I55"/>
    <mergeCell ref="B56:H56"/>
    <mergeCell ref="B57:H57"/>
    <mergeCell ref="A61:H61"/>
    <mergeCell ref="A62:I62"/>
    <mergeCell ref="A85:H85"/>
    <mergeCell ref="A86:I86"/>
    <mergeCell ref="B87:H87"/>
    <mergeCell ref="B88:H88"/>
    <mergeCell ref="A93:H93"/>
    <mergeCell ref="B72:H72"/>
    <mergeCell ref="A76:H76"/>
    <mergeCell ref="A77:I77"/>
    <mergeCell ref="B78:H78"/>
    <mergeCell ref="B79:H79"/>
    <mergeCell ref="B102:H102"/>
    <mergeCell ref="B103:H103"/>
    <mergeCell ref="A107:H107"/>
    <mergeCell ref="A108:I108"/>
    <mergeCell ref="B109:H109"/>
    <mergeCell ref="A94:I94"/>
    <mergeCell ref="A101:I101"/>
    <mergeCell ref="A100:H100"/>
    <mergeCell ref="B96:H96"/>
    <mergeCell ref="B95:H95"/>
    <mergeCell ref="A123:H123"/>
    <mergeCell ref="A124:I124"/>
    <mergeCell ref="B125:H125"/>
    <mergeCell ref="B126:H126"/>
    <mergeCell ref="A133:H133"/>
    <mergeCell ref="B110:H110"/>
    <mergeCell ref="A115:H115"/>
    <mergeCell ref="A116:I116"/>
    <mergeCell ref="B117:H117"/>
    <mergeCell ref="B118:H118"/>
    <mergeCell ref="B143:H143"/>
    <mergeCell ref="B144:H144"/>
    <mergeCell ref="A150:H150"/>
    <mergeCell ref="A151:I151"/>
    <mergeCell ref="B152:H152"/>
    <mergeCell ref="A134:I134"/>
    <mergeCell ref="B135:H135"/>
    <mergeCell ref="B136:H136"/>
    <mergeCell ref="A141:H141"/>
    <mergeCell ref="A142:I142"/>
    <mergeCell ref="A169:H169"/>
    <mergeCell ref="A170:I170"/>
    <mergeCell ref="B171:H171"/>
    <mergeCell ref="B172:H172"/>
    <mergeCell ref="A179:H179"/>
    <mergeCell ref="B153:H153"/>
    <mergeCell ref="A160:H160"/>
    <mergeCell ref="A161:I161"/>
    <mergeCell ref="B162:H162"/>
    <mergeCell ref="B163:H163"/>
    <mergeCell ref="B192:H192"/>
    <mergeCell ref="B193:H193"/>
    <mergeCell ref="A199:H199"/>
    <mergeCell ref="A200:I200"/>
    <mergeCell ref="B201:H201"/>
    <mergeCell ref="A180:I180"/>
    <mergeCell ref="B181:H181"/>
    <mergeCell ref="B182:H182"/>
    <mergeCell ref="A190:H190"/>
    <mergeCell ref="A191:I191"/>
    <mergeCell ref="A211:H211"/>
    <mergeCell ref="A212:I212"/>
    <mergeCell ref="B213:H213"/>
    <mergeCell ref="B214:H214"/>
    <mergeCell ref="A224:H224"/>
    <mergeCell ref="B202:H202"/>
    <mergeCell ref="A205:H205"/>
    <mergeCell ref="A206:I206"/>
    <mergeCell ref="B207:H207"/>
    <mergeCell ref="B208:H208"/>
    <mergeCell ref="B239:H239"/>
    <mergeCell ref="B240:H240"/>
    <mergeCell ref="A245:H245"/>
    <mergeCell ref="A246:I246"/>
    <mergeCell ref="B247:H247"/>
    <mergeCell ref="A225:I225"/>
    <mergeCell ref="B226:H226"/>
    <mergeCell ref="B227:H227"/>
    <mergeCell ref="A237:H237"/>
    <mergeCell ref="A238:I238"/>
    <mergeCell ref="A261:H261"/>
    <mergeCell ref="A262:I262"/>
    <mergeCell ref="B263:H263"/>
    <mergeCell ref="B264:H264"/>
    <mergeCell ref="A276:H276"/>
    <mergeCell ref="B248:H248"/>
    <mergeCell ref="A253:H253"/>
    <mergeCell ref="A254:I254"/>
    <mergeCell ref="B255:H255"/>
    <mergeCell ref="B256:H256"/>
    <mergeCell ref="B291:H291"/>
    <mergeCell ref="B292:H292"/>
    <mergeCell ref="A298:H298"/>
    <mergeCell ref="A299:I299"/>
    <mergeCell ref="A310:I310"/>
    <mergeCell ref="A309:H309"/>
    <mergeCell ref="B301:H301"/>
    <mergeCell ref="B300:H300"/>
    <mergeCell ref="A277:I277"/>
    <mergeCell ref="B278:H278"/>
    <mergeCell ref="B279:H279"/>
    <mergeCell ref="A289:H289"/>
    <mergeCell ref="A290:I290"/>
    <mergeCell ref="B321:H321"/>
    <mergeCell ref="A325:H325"/>
    <mergeCell ref="A326:I326"/>
    <mergeCell ref="B327:H327"/>
    <mergeCell ref="B328:H328"/>
    <mergeCell ref="B311:H311"/>
    <mergeCell ref="B312:H312"/>
    <mergeCell ref="A318:H318"/>
    <mergeCell ref="A319:I319"/>
    <mergeCell ref="B320:H320"/>
    <mergeCell ref="A339:I339"/>
    <mergeCell ref="B340:H340"/>
    <mergeCell ref="B341:H341"/>
    <mergeCell ref="A345:H345"/>
    <mergeCell ref="A346:I346"/>
    <mergeCell ref="A332:H332"/>
    <mergeCell ref="A333:I333"/>
    <mergeCell ref="B334:H334"/>
    <mergeCell ref="B335:H335"/>
    <mergeCell ref="A338:H338"/>
  </mergeCells>
  <printOptions horizontalCentered="1"/>
  <pageMargins left="0.39370078740157483" right="0.39370078740157483" top="1.1811023622047245" bottom="1.1811023622047245" header="0.19685039370078741" footer="0.19685039370078741"/>
  <pageSetup paperSize="9" scale="80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G23" sqref="G23"/>
    </sheetView>
  </sheetViews>
  <sheetFormatPr defaultRowHeight="15" x14ac:dyDescent="0.25"/>
  <cols>
    <col min="2" max="2" width="48.42578125" customWidth="1"/>
    <col min="3" max="3" width="12.42578125" customWidth="1"/>
    <col min="5" max="5" width="12.140625" customWidth="1"/>
    <col min="6" max="6" width="12.85546875" customWidth="1"/>
    <col min="7" max="7" width="12.140625" customWidth="1"/>
    <col min="8" max="8" width="15.28515625" customWidth="1"/>
  </cols>
  <sheetData>
    <row r="1" spans="1:8" ht="15.75" thickBot="1" x14ac:dyDescent="0.3">
      <c r="A1" s="71" t="str">
        <f>[1]Planilha!A2</f>
        <v>Obra:</v>
      </c>
      <c r="B1" s="72" t="str">
        <f>planilha!B1</f>
        <v>Reforma e Ampliação da Pedro A. Cabral</v>
      </c>
      <c r="C1" s="73"/>
      <c r="D1" s="74"/>
      <c r="E1" s="75"/>
      <c r="F1" s="76"/>
      <c r="G1" s="76"/>
      <c r="H1" s="170" t="s">
        <v>327</v>
      </c>
    </row>
    <row r="2" spans="1:8" ht="15.75" thickBot="1" x14ac:dyDescent="0.3">
      <c r="A2" s="171" t="s">
        <v>328</v>
      </c>
      <c r="B2" s="171"/>
      <c r="C2" s="171"/>
      <c r="D2" s="171"/>
      <c r="E2" s="171"/>
      <c r="F2" s="171"/>
      <c r="G2" s="171"/>
      <c r="H2" s="170"/>
    </row>
    <row r="3" spans="1:8" ht="15.75" thickBot="1" x14ac:dyDescent="0.3">
      <c r="A3" s="77" t="s">
        <v>329</v>
      </c>
      <c r="B3" s="78" t="s">
        <v>330</v>
      </c>
      <c r="C3" s="78" t="s">
        <v>331</v>
      </c>
      <c r="D3" s="78" t="s">
        <v>332</v>
      </c>
      <c r="E3" s="78">
        <v>1</v>
      </c>
      <c r="F3" s="78">
        <v>2</v>
      </c>
      <c r="G3" s="79">
        <v>3</v>
      </c>
      <c r="H3" s="170"/>
    </row>
    <row r="4" spans="1:8" x14ac:dyDescent="0.25">
      <c r="A4" s="80">
        <v>1</v>
      </c>
      <c r="B4" s="81" t="str">
        <f>VLOOKUP(A4,planilha!$A$6:$J$700,4,FALSE)</f>
        <v>Serviços Preliminares</v>
      </c>
      <c r="C4" s="82">
        <f>VLOOKUP(A4,planilha!$A$6:$J$700,10,FALSE)</f>
        <v>2446.5490559999998</v>
      </c>
      <c r="D4" s="83"/>
      <c r="E4" s="84">
        <v>1</v>
      </c>
      <c r="F4" s="84"/>
      <c r="G4" s="84"/>
      <c r="H4" s="85">
        <f>G4+F4+E4</f>
        <v>1</v>
      </c>
    </row>
    <row r="5" spans="1:8" x14ac:dyDescent="0.25">
      <c r="A5" s="80"/>
      <c r="B5" s="86"/>
      <c r="C5" s="82"/>
      <c r="D5" s="83"/>
      <c r="E5" s="87">
        <f t="shared" ref="E5:G5" si="0">C4*E4</f>
        <v>2446.5490559999998</v>
      </c>
      <c r="F5" s="87">
        <f t="shared" si="0"/>
        <v>0</v>
      </c>
      <c r="G5" s="87">
        <f t="shared" si="0"/>
        <v>0</v>
      </c>
      <c r="H5" s="88">
        <f>G5+F5+E5</f>
        <v>2446.5490559999998</v>
      </c>
    </row>
    <row r="6" spans="1:8" x14ac:dyDescent="0.25">
      <c r="A6" s="80">
        <v>2</v>
      </c>
      <c r="B6" s="81" t="str">
        <f>VLOOKUP(A6,planilha!$A$6:$J$700,4,FALSE)</f>
        <v>Cobertura Nova</v>
      </c>
      <c r="C6" s="82">
        <f>VLOOKUP(A6,planilha!$A$6:$J$700,10,FALSE)</f>
        <v>32009.350245599999</v>
      </c>
      <c r="D6" s="83"/>
      <c r="E6" s="84">
        <v>0.5</v>
      </c>
      <c r="F6" s="89">
        <v>0.5</v>
      </c>
      <c r="G6" s="89"/>
      <c r="H6" s="85">
        <f t="shared" ref="H6:H32" si="1">G6+F6+E6</f>
        <v>1</v>
      </c>
    </row>
    <row r="7" spans="1:8" x14ac:dyDescent="0.25">
      <c r="A7" s="80"/>
      <c r="B7" s="86"/>
      <c r="C7" s="82"/>
      <c r="D7" s="83"/>
      <c r="E7" s="87">
        <f t="shared" ref="E7:G7" si="2">$C6*E6</f>
        <v>16004.675122799999</v>
      </c>
      <c r="F7" s="87">
        <f t="shared" si="2"/>
        <v>16004.675122799999</v>
      </c>
      <c r="G7" s="87">
        <f t="shared" si="2"/>
        <v>0</v>
      </c>
      <c r="H7" s="88">
        <f>G7+F7+E7</f>
        <v>32009.350245599999</v>
      </c>
    </row>
    <row r="8" spans="1:8" x14ac:dyDescent="0.25">
      <c r="A8" s="80">
        <v>3</v>
      </c>
      <c r="B8" s="81" t="str">
        <f>VLOOKUP(A8,planilha!$A$6:$J$700,4,FALSE)</f>
        <v>Cobertura - Revisão</v>
      </c>
      <c r="C8" s="82">
        <f>VLOOKUP(A8,planilha!$A$6:$J$700,10,FALSE)</f>
        <v>30061.019440479995</v>
      </c>
      <c r="D8" s="83"/>
      <c r="E8" s="90">
        <v>0.3</v>
      </c>
      <c r="F8" s="90">
        <v>0.3</v>
      </c>
      <c r="G8" s="90">
        <v>0.4</v>
      </c>
      <c r="H8" s="85">
        <f t="shared" si="1"/>
        <v>1</v>
      </c>
    </row>
    <row r="9" spans="1:8" x14ac:dyDescent="0.25">
      <c r="A9" s="80"/>
      <c r="B9" s="86"/>
      <c r="C9" s="82"/>
      <c r="D9" s="83"/>
      <c r="E9" s="87">
        <f t="shared" ref="E9:G9" si="3">$C8*E8</f>
        <v>9018.3058321439985</v>
      </c>
      <c r="F9" s="87">
        <f t="shared" si="3"/>
        <v>9018.3058321439985</v>
      </c>
      <c r="G9" s="87">
        <f t="shared" si="3"/>
        <v>12024.407776191998</v>
      </c>
      <c r="H9" s="88">
        <f>G9+F9+E9</f>
        <v>30061.019440479991</v>
      </c>
    </row>
    <row r="10" spans="1:8" x14ac:dyDescent="0.25">
      <c r="A10" s="80">
        <v>4</v>
      </c>
      <c r="B10" s="81" t="str">
        <f>VLOOKUP(A10,planilha!$A$6:$J$700,4,FALSE)</f>
        <v>Forro</v>
      </c>
      <c r="C10" s="82">
        <f>VLOOKUP(A10,planilha!$A$6:$J$700,10,FALSE)</f>
        <v>2727.5350502400006</v>
      </c>
      <c r="D10" s="83"/>
      <c r="E10" s="90">
        <v>0</v>
      </c>
      <c r="F10" s="89">
        <v>1</v>
      </c>
      <c r="G10" s="89"/>
      <c r="H10" s="85">
        <f t="shared" si="1"/>
        <v>1</v>
      </c>
    </row>
    <row r="11" spans="1:8" x14ac:dyDescent="0.25">
      <c r="A11" s="80"/>
      <c r="B11" s="86"/>
      <c r="C11" s="82"/>
      <c r="D11" s="83"/>
      <c r="E11" s="87">
        <f t="shared" ref="E11:G11" si="4">$C10*E10</f>
        <v>0</v>
      </c>
      <c r="F11" s="87">
        <f t="shared" si="4"/>
        <v>2727.5350502400006</v>
      </c>
      <c r="G11" s="87">
        <f t="shared" si="4"/>
        <v>0</v>
      </c>
      <c r="H11" s="88">
        <f>G11+F11+E11</f>
        <v>2727.5350502400006</v>
      </c>
    </row>
    <row r="12" spans="1:8" x14ac:dyDescent="0.25">
      <c r="A12" s="80">
        <v>5</v>
      </c>
      <c r="B12" s="81" t="str">
        <f>VLOOKUP(A12,planilha!$A$6:$J$700,4,FALSE)</f>
        <v>Impermeabilização</v>
      </c>
      <c r="C12" s="82">
        <f>VLOOKUP(A12,planilha!$A$6:$J$700,10,FALSE)</f>
        <v>1242.5232814399999</v>
      </c>
      <c r="D12" s="83"/>
      <c r="E12" s="91">
        <v>0</v>
      </c>
      <c r="F12" s="91">
        <v>1</v>
      </c>
      <c r="G12" s="91"/>
      <c r="H12" s="85">
        <f t="shared" si="1"/>
        <v>1</v>
      </c>
    </row>
    <row r="13" spans="1:8" x14ac:dyDescent="0.25">
      <c r="A13" s="80"/>
      <c r="B13" s="92"/>
      <c r="C13" s="82"/>
      <c r="D13" s="83"/>
      <c r="E13" s="87">
        <f t="shared" ref="E13:G13" si="5">$C12*E12</f>
        <v>0</v>
      </c>
      <c r="F13" s="87">
        <f t="shared" si="5"/>
        <v>1242.5232814399999</v>
      </c>
      <c r="G13" s="87">
        <f t="shared" si="5"/>
        <v>0</v>
      </c>
      <c r="H13" s="88">
        <f>G13+F13+E13</f>
        <v>1242.5232814399999</v>
      </c>
    </row>
    <row r="14" spans="1:8" x14ac:dyDescent="0.25">
      <c r="A14" s="80">
        <v>6</v>
      </c>
      <c r="B14" s="81" t="str">
        <f>VLOOKUP(A14,planilha!$A$6:$J$700,4,FALSE)</f>
        <v>Revestimento Interno e Externo</v>
      </c>
      <c r="C14" s="82">
        <f>VLOOKUP(A14,planilha!$A$6:$J$700,10,FALSE)</f>
        <v>24435.639744319997</v>
      </c>
      <c r="D14" s="83"/>
      <c r="E14" s="91">
        <v>0.8</v>
      </c>
      <c r="F14" s="91">
        <v>0.2</v>
      </c>
      <c r="G14" s="91"/>
      <c r="H14" s="85">
        <f t="shared" si="1"/>
        <v>1</v>
      </c>
    </row>
    <row r="15" spans="1:8" x14ac:dyDescent="0.25">
      <c r="A15" s="80"/>
      <c r="B15" s="92"/>
      <c r="C15" s="82"/>
      <c r="D15" s="83"/>
      <c r="E15" s="87">
        <f t="shared" ref="E15:G15" si="6">$C14*E14</f>
        <v>19548.511795455997</v>
      </c>
      <c r="F15" s="87">
        <f t="shared" si="6"/>
        <v>4887.1279488639993</v>
      </c>
      <c r="G15" s="87">
        <f t="shared" si="6"/>
        <v>0</v>
      </c>
      <c r="H15" s="88">
        <f>G15+F15+E15</f>
        <v>24435.639744319997</v>
      </c>
    </row>
    <row r="16" spans="1:8" x14ac:dyDescent="0.25">
      <c r="A16" s="80">
        <v>7</v>
      </c>
      <c r="B16" s="81" t="str">
        <f>VLOOKUP(A16,planilha!$A$6:$J$700,4,FALSE)</f>
        <v>Pisos</v>
      </c>
      <c r="C16" s="82">
        <f>VLOOKUP(A16,planilha!$A$6:$J$700,10,FALSE)</f>
        <v>23978.851931999998</v>
      </c>
      <c r="D16" s="83"/>
      <c r="E16" s="91">
        <v>0.5</v>
      </c>
      <c r="F16" s="91">
        <v>0.5</v>
      </c>
      <c r="G16" s="91"/>
      <c r="H16" s="85">
        <f t="shared" si="1"/>
        <v>1</v>
      </c>
    </row>
    <row r="17" spans="1:8" x14ac:dyDescent="0.25">
      <c r="A17" s="80"/>
      <c r="B17" s="92"/>
      <c r="C17" s="82"/>
      <c r="D17" s="83"/>
      <c r="E17" s="87">
        <f t="shared" ref="E17:G17" si="7">$C16*E16</f>
        <v>11989.425965999999</v>
      </c>
      <c r="F17" s="87">
        <f t="shared" si="7"/>
        <v>11989.425965999999</v>
      </c>
      <c r="G17" s="87">
        <f t="shared" si="7"/>
        <v>0</v>
      </c>
      <c r="H17" s="88">
        <f>G17+F17+E17</f>
        <v>23978.851931999998</v>
      </c>
    </row>
    <row r="18" spans="1:8" x14ac:dyDescent="0.25">
      <c r="A18" s="80">
        <v>8</v>
      </c>
      <c r="B18" s="81" t="str">
        <f>VLOOKUP(A18,planilha!$A$6:$J$700,4,FALSE)</f>
        <v>Pintura Nova</v>
      </c>
      <c r="C18" s="82">
        <f>VLOOKUP(A18,planilha!$A$6:$J$700,10,FALSE)</f>
        <v>16818.567285519999</v>
      </c>
      <c r="D18" s="83"/>
      <c r="E18" s="93"/>
      <c r="F18" s="91">
        <v>0.5</v>
      </c>
      <c r="G18" s="91">
        <v>0.5</v>
      </c>
      <c r="H18" s="85">
        <f t="shared" si="1"/>
        <v>1</v>
      </c>
    </row>
    <row r="19" spans="1:8" x14ac:dyDescent="0.25">
      <c r="A19" s="80"/>
      <c r="B19" s="92"/>
      <c r="C19" s="82"/>
      <c r="D19" s="83"/>
      <c r="E19" s="87">
        <f t="shared" ref="E19:G19" si="8">$C18*E18</f>
        <v>0</v>
      </c>
      <c r="F19" s="87">
        <f t="shared" si="8"/>
        <v>8409.2836427599996</v>
      </c>
      <c r="G19" s="87">
        <f t="shared" si="8"/>
        <v>8409.2836427599996</v>
      </c>
      <c r="H19" s="88">
        <f>G19+F19+E19</f>
        <v>16818.567285519999</v>
      </c>
    </row>
    <row r="20" spans="1:8" x14ac:dyDescent="0.25">
      <c r="A20" s="80">
        <v>9</v>
      </c>
      <c r="B20" s="81" t="str">
        <f>VLOOKUP(A20,planilha!$A$6:$J$700,4,FALSE)</f>
        <v>Pintura - Revisão</v>
      </c>
      <c r="C20" s="82">
        <f>VLOOKUP(A20,planilha!$A$6:$J$700,10,FALSE)</f>
        <v>46347.943094319999</v>
      </c>
      <c r="D20" s="83"/>
      <c r="E20" s="91">
        <v>0.3</v>
      </c>
      <c r="F20" s="91">
        <v>0.3</v>
      </c>
      <c r="G20" s="91">
        <v>0.4</v>
      </c>
      <c r="H20" s="85">
        <f t="shared" si="1"/>
        <v>1</v>
      </c>
    </row>
    <row r="21" spans="1:8" x14ac:dyDescent="0.25">
      <c r="A21" s="80"/>
      <c r="B21" s="92"/>
      <c r="C21" s="82"/>
      <c r="D21" s="83"/>
      <c r="E21" s="87">
        <f t="shared" ref="E21:G21" si="9">$C20*E20</f>
        <v>13904.382928296</v>
      </c>
      <c r="F21" s="87">
        <f t="shared" si="9"/>
        <v>13904.382928296</v>
      </c>
      <c r="G21" s="87">
        <f t="shared" si="9"/>
        <v>18539.177237727999</v>
      </c>
      <c r="H21" s="88">
        <f>G21+F21+E21</f>
        <v>46347.943094319999</v>
      </c>
    </row>
    <row r="22" spans="1:8" x14ac:dyDescent="0.25">
      <c r="A22" s="80">
        <v>10</v>
      </c>
      <c r="B22" s="81" t="str">
        <f>VLOOKUP(A22,planilha!$A$6:$J$700,4,FALSE)</f>
        <v>Instalações Hidrossanitárias</v>
      </c>
      <c r="C22" s="82">
        <f>VLOOKUP(A22,planilha!$A$6:$J$700,10,FALSE)</f>
        <v>2385.5826399999996</v>
      </c>
      <c r="D22" s="83"/>
      <c r="E22" s="93"/>
      <c r="F22" s="89"/>
      <c r="G22" s="89">
        <v>1</v>
      </c>
      <c r="H22" s="85">
        <f t="shared" si="1"/>
        <v>1</v>
      </c>
    </row>
    <row r="23" spans="1:8" x14ac:dyDescent="0.25">
      <c r="A23" s="80"/>
      <c r="B23" s="92"/>
      <c r="C23" s="82"/>
      <c r="D23" s="83"/>
      <c r="E23" s="87">
        <f t="shared" ref="E23:G23" si="10">$C22*E22</f>
        <v>0</v>
      </c>
      <c r="F23" s="87">
        <f t="shared" si="10"/>
        <v>0</v>
      </c>
      <c r="G23" s="87">
        <f t="shared" si="10"/>
        <v>2385.5826399999996</v>
      </c>
      <c r="H23" s="88">
        <f>G23+F23+E23</f>
        <v>2385.5826399999996</v>
      </c>
    </row>
    <row r="24" spans="1:8" x14ac:dyDescent="0.25">
      <c r="A24" s="80">
        <v>11</v>
      </c>
      <c r="B24" s="81" t="str">
        <f>VLOOKUP(A24,planilha!$A$6:$J$700,4,FALSE)</f>
        <v>Instalações Elétricas</v>
      </c>
      <c r="C24" s="82">
        <f>VLOOKUP(A24,planilha!$A$6:$J$700,10,FALSE)</f>
        <v>8951.7980159999988</v>
      </c>
      <c r="D24" s="83"/>
      <c r="E24" s="93"/>
      <c r="F24" s="89"/>
      <c r="G24" s="89">
        <v>1</v>
      </c>
      <c r="H24" s="85">
        <f t="shared" si="1"/>
        <v>1</v>
      </c>
    </row>
    <row r="25" spans="1:8" x14ac:dyDescent="0.25">
      <c r="A25" s="80"/>
      <c r="B25" s="92"/>
      <c r="C25" s="82"/>
      <c r="D25" s="83"/>
      <c r="E25" s="87">
        <f t="shared" ref="E25:G25" si="11">$C24*E24</f>
        <v>0</v>
      </c>
      <c r="F25" s="87">
        <f t="shared" si="11"/>
        <v>0</v>
      </c>
      <c r="G25" s="87">
        <f t="shared" si="11"/>
        <v>8951.7980159999988</v>
      </c>
      <c r="H25" s="88">
        <f>G25+F25+E25</f>
        <v>8951.7980159999988</v>
      </c>
    </row>
    <row r="26" spans="1:8" x14ac:dyDescent="0.25">
      <c r="A26" s="80">
        <v>12</v>
      </c>
      <c r="B26" s="81" t="str">
        <f>VLOOKUP(A26,planilha!$A$6:$J$700,4,FALSE)</f>
        <v>Serviços Complementares</v>
      </c>
      <c r="C26" s="82">
        <f>VLOOKUP(A26,planilha!$A$6:$J$700,10,FALSE)</f>
        <v>1746.9762911999999</v>
      </c>
      <c r="D26" s="83"/>
      <c r="E26" s="89"/>
      <c r="F26" s="89"/>
      <c r="G26" s="89">
        <v>1</v>
      </c>
      <c r="H26" s="85">
        <f t="shared" si="1"/>
        <v>1</v>
      </c>
    </row>
    <row r="27" spans="1:8" x14ac:dyDescent="0.25">
      <c r="A27" s="80"/>
      <c r="B27" s="92"/>
      <c r="C27" s="82"/>
      <c r="D27" s="83"/>
      <c r="E27" s="87">
        <f t="shared" ref="E27:G27" si="12">$C26*E26</f>
        <v>0</v>
      </c>
      <c r="F27" s="87">
        <f t="shared" si="12"/>
        <v>0</v>
      </c>
      <c r="G27" s="87">
        <f t="shared" si="12"/>
        <v>1746.9762911999999</v>
      </c>
      <c r="H27" s="88">
        <f>G27+F27+E27</f>
        <v>1746.9762911999999</v>
      </c>
    </row>
    <row r="28" spans="1:8" x14ac:dyDescent="0.25">
      <c r="A28" s="80">
        <v>13</v>
      </c>
      <c r="B28" s="81" t="str">
        <f>VLOOKUP(A28,planilha!$A$6:$J$700,4,FALSE)</f>
        <v>Esquadria</v>
      </c>
      <c r="C28" s="82">
        <f>VLOOKUP(A28,planilha!$A$6:$J$700,10,FALSE)</f>
        <v>3846.0587356799997</v>
      </c>
      <c r="D28" s="83"/>
      <c r="E28" s="89"/>
      <c r="F28" s="89">
        <v>0</v>
      </c>
      <c r="G28" s="89">
        <v>1</v>
      </c>
      <c r="H28" s="85">
        <f t="shared" si="1"/>
        <v>1</v>
      </c>
    </row>
    <row r="29" spans="1:8" x14ac:dyDescent="0.25">
      <c r="A29" s="80"/>
      <c r="B29" s="92"/>
      <c r="C29" s="82"/>
      <c r="D29" s="83"/>
      <c r="E29" s="87">
        <f t="shared" ref="E29:G29" si="13">$C28*E28</f>
        <v>0</v>
      </c>
      <c r="F29" s="87">
        <f t="shared" si="13"/>
        <v>0</v>
      </c>
      <c r="G29" s="87">
        <f t="shared" si="13"/>
        <v>3846.0587356799997</v>
      </c>
      <c r="H29" s="88">
        <f>G29+F29+E29</f>
        <v>3846.0587356799997</v>
      </c>
    </row>
    <row r="30" spans="1:8" x14ac:dyDescent="0.25">
      <c r="A30" s="80">
        <v>14</v>
      </c>
      <c r="B30" s="81" t="str">
        <f>VLOOKUP(A30,planilha!$A$6:$J$700,4,FALSE)</f>
        <v>Serviços Finais</v>
      </c>
      <c r="C30" s="82">
        <f>VLOOKUP(A30,planilha!$A$6:$J$700,10,FALSE)</f>
        <v>3677.0916000000002</v>
      </c>
      <c r="D30" s="83"/>
      <c r="E30" s="89"/>
      <c r="F30" s="89">
        <v>0</v>
      </c>
      <c r="G30" s="89">
        <v>1</v>
      </c>
      <c r="H30" s="85">
        <f t="shared" si="1"/>
        <v>1</v>
      </c>
    </row>
    <row r="31" spans="1:8" x14ac:dyDescent="0.25">
      <c r="A31" s="80"/>
      <c r="B31" s="92"/>
      <c r="C31" s="82"/>
      <c r="D31" s="83"/>
      <c r="E31" s="87">
        <f t="shared" ref="E31:G31" si="14">$C30*E30</f>
        <v>0</v>
      </c>
      <c r="F31" s="87">
        <f t="shared" si="14"/>
        <v>0</v>
      </c>
      <c r="G31" s="87">
        <f t="shared" si="14"/>
        <v>3677.0916000000002</v>
      </c>
      <c r="H31" s="88">
        <f>G31+F31+E31</f>
        <v>3677.0916000000002</v>
      </c>
    </row>
    <row r="32" spans="1:8" x14ac:dyDescent="0.25">
      <c r="A32" s="80">
        <v>15</v>
      </c>
      <c r="B32" s="81" t="str">
        <f>VLOOKUP(A32,planilha!$A$6:$J$700,4,FALSE)</f>
        <v>Administração Local</v>
      </c>
      <c r="C32" s="82">
        <f>VLOOKUP(A32,planilha!$A$6:$J$700,10,FALSE)</f>
        <v>11968.798911999998</v>
      </c>
      <c r="D32" s="83"/>
      <c r="E32" s="89">
        <v>0.35</v>
      </c>
      <c r="F32" s="89">
        <v>0.35</v>
      </c>
      <c r="G32" s="89">
        <v>0.3</v>
      </c>
      <c r="H32" s="85">
        <f t="shared" si="1"/>
        <v>0.99999999999999989</v>
      </c>
    </row>
    <row r="33" spans="1:8" ht="15.75" thickBot="1" x14ac:dyDescent="0.3">
      <c r="A33" s="80"/>
      <c r="B33" s="92"/>
      <c r="C33" s="82"/>
      <c r="D33" s="83"/>
      <c r="E33" s="87">
        <f t="shared" ref="E33:G33" si="15">$C32*E32</f>
        <v>4189.0796191999989</v>
      </c>
      <c r="F33" s="87">
        <f t="shared" si="15"/>
        <v>4189.0796191999989</v>
      </c>
      <c r="G33" s="87">
        <f t="shared" si="15"/>
        <v>3590.6396735999992</v>
      </c>
      <c r="H33" s="88">
        <f>G33+F33+E33</f>
        <v>11968.798911999998</v>
      </c>
    </row>
    <row r="34" spans="1:8" ht="15.75" thickBot="1" x14ac:dyDescent="0.3">
      <c r="A34" s="172" t="s">
        <v>333</v>
      </c>
      <c r="B34" s="173"/>
      <c r="C34" s="94">
        <f>SUM(C4:C33)</f>
        <v>212644.28532479997</v>
      </c>
      <c r="D34" s="95">
        <f>SUM(D4:D33)</f>
        <v>0</v>
      </c>
      <c r="E34" s="96">
        <f>E33+E31+E29+E27+E25+E23+E21+E19+E17+E15+E13+E11+E9+E7+E5</f>
        <v>77100.930319895997</v>
      </c>
      <c r="F34" s="96">
        <f>F33+F31+F29+F27+F25+F23+F21+F19+F17+F15+F13+F11+F9+F7+F5</f>
        <v>72372.339391743997</v>
      </c>
      <c r="G34" s="96">
        <f>G33+G31+G29+G27+G25+G23+G21+G19+G17+G15+G13+G11+G9+G7+G5</f>
        <v>63171.015613159994</v>
      </c>
      <c r="H34" s="174">
        <f>H33+H31+H27+H29+H25+H23+H21+H19+H17+H15+H13+H11+H9+H7+H5</f>
        <v>212644.28532479997</v>
      </c>
    </row>
    <row r="35" spans="1:8" x14ac:dyDescent="0.25">
      <c r="A35" s="177" t="s">
        <v>334</v>
      </c>
      <c r="B35" s="178"/>
      <c r="C35" s="178"/>
      <c r="D35" s="178"/>
      <c r="E35" s="96">
        <f>E34</f>
        <v>77100.930319895997</v>
      </c>
      <c r="F35" s="96">
        <f t="shared" ref="F35:G35" si="16">F34+E35</f>
        <v>149473.26971163999</v>
      </c>
      <c r="G35" s="96">
        <f t="shared" si="16"/>
        <v>212644.2853248</v>
      </c>
      <c r="H35" s="175"/>
    </row>
    <row r="36" spans="1:8" x14ac:dyDescent="0.25">
      <c r="A36" s="179"/>
      <c r="B36" s="180"/>
      <c r="C36" s="180"/>
      <c r="D36" s="180"/>
      <c r="E36" s="97">
        <f>E34/$C$34</f>
        <v>0.36258171811261924</v>
      </c>
      <c r="F36" s="97">
        <f>F34/$C$34</f>
        <v>0.34034462426864692</v>
      </c>
      <c r="G36" s="97">
        <f>G34/$C$34</f>
        <v>0.29707365761873394</v>
      </c>
      <c r="H36" s="175"/>
    </row>
    <row r="37" spans="1:8" ht="15.75" thickBot="1" x14ac:dyDescent="0.3">
      <c r="A37" s="181"/>
      <c r="B37" s="182"/>
      <c r="C37" s="182"/>
      <c r="D37" s="182"/>
      <c r="E37" s="89">
        <f>E36</f>
        <v>0.36258171811261924</v>
      </c>
      <c r="F37" s="89">
        <f t="shared" ref="F37:G37" si="17">F36+E37</f>
        <v>0.70292634238126617</v>
      </c>
      <c r="G37" s="89">
        <f t="shared" si="17"/>
        <v>1</v>
      </c>
      <c r="H37" s="176"/>
    </row>
  </sheetData>
  <mergeCells count="5">
    <mergeCell ref="H1:H3"/>
    <mergeCell ref="A2:G2"/>
    <mergeCell ref="A34:B34"/>
    <mergeCell ref="H34:H37"/>
    <mergeCell ref="A35:D37"/>
  </mergeCells>
  <printOptions horizontalCentered="1"/>
  <pageMargins left="0.39370078740157483" right="0.39370078740157483" top="1.1811023622047245" bottom="1.1811023622047245" header="0.19685039370078741" footer="0.19685039370078741"/>
  <pageSetup paperSize="9" scale="72" orientation="portrait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Normal="100" zoomScaleSheetLayoutView="100" workbookViewId="0">
      <selection activeCell="J20" sqref="J20"/>
    </sheetView>
  </sheetViews>
  <sheetFormatPr defaultRowHeight="15" x14ac:dyDescent="0.25"/>
  <cols>
    <col min="1" max="1" width="36.140625" customWidth="1"/>
    <col min="2" max="2" width="26.5703125" customWidth="1"/>
    <col min="3" max="3" width="15.28515625" customWidth="1"/>
  </cols>
  <sheetData>
    <row r="1" spans="1:3" ht="15.75" thickBot="1" x14ac:dyDescent="0.3">
      <c r="A1" s="183" t="s">
        <v>335</v>
      </c>
      <c r="B1" s="184"/>
      <c r="C1" s="185"/>
    </row>
    <row r="2" spans="1:3" x14ac:dyDescent="0.25">
      <c r="A2" s="186" t="s">
        <v>336</v>
      </c>
      <c r="B2" s="187"/>
      <c r="C2" s="98" t="s">
        <v>337</v>
      </c>
    </row>
    <row r="3" spans="1:3" x14ac:dyDescent="0.25">
      <c r="A3" s="99" t="s">
        <v>338</v>
      </c>
      <c r="B3" s="100"/>
      <c r="C3" s="101">
        <v>4.5999999999999999E-2</v>
      </c>
    </row>
    <row r="4" spans="1:3" x14ac:dyDescent="0.25">
      <c r="A4" s="99" t="s">
        <v>339</v>
      </c>
      <c r="B4" s="100"/>
      <c r="C4" s="101">
        <v>7.0000000000000001E-3</v>
      </c>
    </row>
    <row r="5" spans="1:3" x14ac:dyDescent="0.25">
      <c r="A5" s="99" t="s">
        <v>340</v>
      </c>
      <c r="B5" s="100"/>
      <c r="C5" s="101">
        <v>9.7000000000000003E-3</v>
      </c>
    </row>
    <row r="6" spans="1:3" x14ac:dyDescent="0.25">
      <c r="A6" s="99" t="s">
        <v>341</v>
      </c>
      <c r="B6" s="102"/>
      <c r="C6" s="101">
        <v>8.0000000000000002E-3</v>
      </c>
    </row>
    <row r="7" spans="1:3" ht="15.75" thickBot="1" x14ac:dyDescent="0.3">
      <c r="A7" s="103"/>
      <c r="B7" s="104" t="s">
        <v>342</v>
      </c>
      <c r="C7" s="105">
        <f>SUM(C3:C6)</f>
        <v>7.0700000000000013E-2</v>
      </c>
    </row>
    <row r="8" spans="1:3" ht="15.75" thickTop="1" x14ac:dyDescent="0.25">
      <c r="A8" s="99"/>
      <c r="B8" s="106"/>
      <c r="C8" s="107"/>
    </row>
    <row r="9" spans="1:3" x14ac:dyDescent="0.25">
      <c r="A9" s="188" t="s">
        <v>343</v>
      </c>
      <c r="B9" s="189"/>
      <c r="C9" s="108" t="s">
        <v>337</v>
      </c>
    </row>
    <row r="10" spans="1:3" x14ac:dyDescent="0.25">
      <c r="A10" s="109" t="s">
        <v>344</v>
      </c>
      <c r="B10" s="110"/>
      <c r="C10" s="111">
        <v>6.5000000000000002E-2</v>
      </c>
    </row>
    <row r="11" spans="1:3" ht="15.75" thickBot="1" x14ac:dyDescent="0.3">
      <c r="A11" s="103"/>
      <c r="B11" s="104" t="s">
        <v>342</v>
      </c>
      <c r="C11" s="105">
        <f>SUM(C10)</f>
        <v>6.5000000000000002E-2</v>
      </c>
    </row>
    <row r="12" spans="1:3" ht="15.75" thickTop="1" x14ac:dyDescent="0.25">
      <c r="A12" s="99"/>
      <c r="B12" s="112"/>
      <c r="C12" s="113"/>
    </row>
    <row r="13" spans="1:3" x14ac:dyDescent="0.25">
      <c r="A13" s="188" t="s">
        <v>345</v>
      </c>
      <c r="B13" s="189"/>
      <c r="C13" s="108" t="s">
        <v>337</v>
      </c>
    </row>
    <row r="14" spans="1:3" x14ac:dyDescent="0.25">
      <c r="A14" s="114" t="s">
        <v>346</v>
      </c>
      <c r="B14" s="112"/>
      <c r="C14" s="101">
        <v>6.4999999999999997E-3</v>
      </c>
    </row>
    <row r="15" spans="1:3" x14ac:dyDescent="0.25">
      <c r="A15" s="114" t="s">
        <v>347</v>
      </c>
      <c r="B15" s="112"/>
      <c r="C15" s="101">
        <v>0.03</v>
      </c>
    </row>
    <row r="16" spans="1:3" x14ac:dyDescent="0.25">
      <c r="A16" s="115" t="s">
        <v>348</v>
      </c>
      <c r="B16" s="116"/>
      <c r="C16" s="117">
        <v>0.05</v>
      </c>
    </row>
    <row r="17" spans="1:3" x14ac:dyDescent="0.25">
      <c r="A17" s="99" t="s">
        <v>349</v>
      </c>
      <c r="B17" s="112"/>
      <c r="C17" s="101">
        <v>0</v>
      </c>
    </row>
    <row r="18" spans="1:3" ht="15.75" thickBot="1" x14ac:dyDescent="0.3">
      <c r="A18" s="118"/>
      <c r="B18" s="119" t="s">
        <v>342</v>
      </c>
      <c r="C18" s="120">
        <f>SUM(C14:C17)</f>
        <v>8.6499999999999994E-2</v>
      </c>
    </row>
    <row r="19" spans="1:3" ht="15.75" thickTop="1" x14ac:dyDescent="0.25">
      <c r="A19" s="99"/>
      <c r="B19" s="112"/>
      <c r="C19" s="113"/>
    </row>
    <row r="20" spans="1:3" ht="15.75" x14ac:dyDescent="0.25">
      <c r="A20" s="121" t="s">
        <v>350</v>
      </c>
      <c r="B20" s="122"/>
      <c r="C20" s="123">
        <f>ROUND((((1+C3+C6+C5)*(1+C4)*(1+C10)/((1-C18)))-1),4)</f>
        <v>0.24879999999999999</v>
      </c>
    </row>
    <row r="21" spans="1:3" x14ac:dyDescent="0.25">
      <c r="A21" s="124"/>
      <c r="B21" s="112"/>
      <c r="C21" s="125"/>
    </row>
    <row r="22" spans="1:3" x14ac:dyDescent="0.25">
      <c r="A22" s="126"/>
      <c r="B22" s="126"/>
      <c r="C22" s="126"/>
    </row>
    <row r="23" spans="1:3" x14ac:dyDescent="0.25">
      <c r="A23" s="126"/>
      <c r="B23" s="126"/>
      <c r="C23" s="126"/>
    </row>
  </sheetData>
  <mergeCells count="4">
    <mergeCell ref="A1:C1"/>
    <mergeCell ref="A2:B2"/>
    <mergeCell ref="A9:B9"/>
    <mergeCell ref="A13:B13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>
      <selection activeCell="J20" sqref="J20"/>
    </sheetView>
  </sheetViews>
  <sheetFormatPr defaultRowHeight="15" x14ac:dyDescent="0.25"/>
  <cols>
    <col min="1" max="1" width="12" customWidth="1"/>
    <col min="2" max="2" width="28.85546875" customWidth="1"/>
    <col min="3" max="3" width="22.5703125" customWidth="1"/>
    <col min="4" max="4" width="15.28515625" customWidth="1"/>
  </cols>
  <sheetData>
    <row r="1" spans="1:4" ht="19.5" thickBot="1" x14ac:dyDescent="0.3">
      <c r="A1" s="195" t="s">
        <v>351</v>
      </c>
      <c r="B1" s="196"/>
      <c r="C1" s="196"/>
      <c r="D1" s="197"/>
    </row>
    <row r="2" spans="1:4" ht="15.75" thickBot="1" x14ac:dyDescent="0.3">
      <c r="A2" s="198" t="s">
        <v>352</v>
      </c>
      <c r="B2" s="199"/>
      <c r="C2" s="199"/>
      <c r="D2" s="200"/>
    </row>
    <row r="3" spans="1:4" x14ac:dyDescent="0.25">
      <c r="A3" s="201" t="s">
        <v>161</v>
      </c>
      <c r="B3" s="203" t="s">
        <v>166</v>
      </c>
      <c r="C3" s="203" t="s">
        <v>353</v>
      </c>
      <c r="D3" s="205"/>
    </row>
    <row r="4" spans="1:4" ht="15.75" thickBot="1" x14ac:dyDescent="0.3">
      <c r="A4" s="202"/>
      <c r="B4" s="204"/>
      <c r="C4" s="127" t="s">
        <v>354</v>
      </c>
      <c r="D4" s="128" t="s">
        <v>355</v>
      </c>
    </row>
    <row r="5" spans="1:4" x14ac:dyDescent="0.25">
      <c r="A5" s="190" t="s">
        <v>356</v>
      </c>
      <c r="B5" s="191"/>
      <c r="C5" s="191"/>
      <c r="D5" s="192"/>
    </row>
    <row r="6" spans="1:4" x14ac:dyDescent="0.25">
      <c r="A6" s="129" t="s">
        <v>357</v>
      </c>
      <c r="B6" s="130" t="s">
        <v>358</v>
      </c>
      <c r="C6" s="131">
        <v>0.2</v>
      </c>
      <c r="D6" s="132">
        <v>0.2</v>
      </c>
    </row>
    <row r="7" spans="1:4" x14ac:dyDescent="0.25">
      <c r="A7" s="129" t="s">
        <v>359</v>
      </c>
      <c r="B7" s="130" t="s">
        <v>360</v>
      </c>
      <c r="C7" s="131">
        <v>1.4999999999999999E-2</v>
      </c>
      <c r="D7" s="132">
        <v>1.4999999999999999E-2</v>
      </c>
    </row>
    <row r="8" spans="1:4" x14ac:dyDescent="0.25">
      <c r="A8" s="129" t="s">
        <v>361</v>
      </c>
      <c r="B8" s="130" t="s">
        <v>362</v>
      </c>
      <c r="C8" s="131">
        <v>0.01</v>
      </c>
      <c r="D8" s="132">
        <v>0.01</v>
      </c>
    </row>
    <row r="9" spans="1:4" x14ac:dyDescent="0.25">
      <c r="A9" s="129" t="s">
        <v>363</v>
      </c>
      <c r="B9" s="130" t="s">
        <v>364</v>
      </c>
      <c r="C9" s="131">
        <v>2E-3</v>
      </c>
      <c r="D9" s="132">
        <v>2E-3</v>
      </c>
    </row>
    <row r="10" spans="1:4" x14ac:dyDescent="0.25">
      <c r="A10" s="129" t="s">
        <v>365</v>
      </c>
      <c r="B10" s="130" t="s">
        <v>366</v>
      </c>
      <c r="C10" s="131">
        <v>6.0000000000000001E-3</v>
      </c>
      <c r="D10" s="132">
        <v>6.0000000000000001E-3</v>
      </c>
    </row>
    <row r="11" spans="1:4" x14ac:dyDescent="0.25">
      <c r="A11" s="129" t="s">
        <v>367</v>
      </c>
      <c r="B11" s="130" t="s">
        <v>368</v>
      </c>
      <c r="C11" s="131">
        <v>2.5000000000000001E-2</v>
      </c>
      <c r="D11" s="132">
        <v>2.5000000000000001E-2</v>
      </c>
    </row>
    <row r="12" spans="1:4" x14ac:dyDescent="0.25">
      <c r="A12" s="129" t="s">
        <v>369</v>
      </c>
      <c r="B12" s="130" t="s">
        <v>370</v>
      </c>
      <c r="C12" s="131">
        <v>0.03</v>
      </c>
      <c r="D12" s="132">
        <v>0.03</v>
      </c>
    </row>
    <row r="13" spans="1:4" x14ac:dyDescent="0.25">
      <c r="A13" s="129" t="s">
        <v>371</v>
      </c>
      <c r="B13" s="130" t="s">
        <v>372</v>
      </c>
      <c r="C13" s="131">
        <v>0.08</v>
      </c>
      <c r="D13" s="132">
        <v>0.08</v>
      </c>
    </row>
    <row r="14" spans="1:4" x14ac:dyDescent="0.25">
      <c r="A14" s="129" t="s">
        <v>373</v>
      </c>
      <c r="B14" s="130" t="s">
        <v>374</v>
      </c>
      <c r="C14" s="131">
        <v>0</v>
      </c>
      <c r="D14" s="132">
        <v>0</v>
      </c>
    </row>
    <row r="15" spans="1:4" x14ac:dyDescent="0.25">
      <c r="A15" s="133" t="s">
        <v>375</v>
      </c>
      <c r="B15" s="134" t="s">
        <v>79</v>
      </c>
      <c r="C15" s="135">
        <f>SUM(C6:C14)</f>
        <v>0.36800000000000005</v>
      </c>
      <c r="D15" s="136">
        <f>SUM(D6:D14)</f>
        <v>0.36800000000000005</v>
      </c>
    </row>
    <row r="16" spans="1:4" x14ac:dyDescent="0.25">
      <c r="A16" s="190" t="s">
        <v>376</v>
      </c>
      <c r="B16" s="191"/>
      <c r="C16" s="191"/>
      <c r="D16" s="192"/>
    </row>
    <row r="17" spans="1:4" x14ac:dyDescent="0.25">
      <c r="A17" s="129" t="s">
        <v>377</v>
      </c>
      <c r="B17" s="130" t="s">
        <v>378</v>
      </c>
      <c r="C17" s="131">
        <v>0.18140000000000001</v>
      </c>
      <c r="D17" s="137" t="s">
        <v>379</v>
      </c>
    </row>
    <row r="18" spans="1:4" x14ac:dyDescent="0.25">
      <c r="A18" s="129" t="s">
        <v>380</v>
      </c>
      <c r="B18" s="130" t="s">
        <v>381</v>
      </c>
      <c r="C18" s="131">
        <v>4.1599999999999998E-2</v>
      </c>
      <c r="D18" s="137" t="s">
        <v>379</v>
      </c>
    </row>
    <row r="19" spans="1:4" x14ac:dyDescent="0.25">
      <c r="A19" s="129" t="s">
        <v>382</v>
      </c>
      <c r="B19" s="130" t="s">
        <v>383</v>
      </c>
      <c r="C19" s="131">
        <v>9.2999999999999992E-3</v>
      </c>
      <c r="D19" s="132">
        <v>7.0000000000000001E-3</v>
      </c>
    </row>
    <row r="20" spans="1:4" x14ac:dyDescent="0.25">
      <c r="A20" s="129" t="s">
        <v>384</v>
      </c>
      <c r="B20" s="130" t="s">
        <v>385</v>
      </c>
      <c r="C20" s="131">
        <v>0.111</v>
      </c>
      <c r="D20" s="132">
        <v>8.3299999999999999E-2</v>
      </c>
    </row>
    <row r="21" spans="1:4" x14ac:dyDescent="0.25">
      <c r="A21" s="129" t="s">
        <v>386</v>
      </c>
      <c r="B21" s="130" t="s">
        <v>387</v>
      </c>
      <c r="C21" s="131">
        <v>6.9999999999999999E-4</v>
      </c>
      <c r="D21" s="132">
        <v>5.0000000000000001E-4</v>
      </c>
    </row>
    <row r="22" spans="1:4" x14ac:dyDescent="0.25">
      <c r="A22" s="129" t="s">
        <v>388</v>
      </c>
      <c r="B22" s="130" t="s">
        <v>389</v>
      </c>
      <c r="C22" s="131">
        <v>7.4000000000000003E-3</v>
      </c>
      <c r="D22" s="132">
        <v>5.5999999999999999E-3</v>
      </c>
    </row>
    <row r="23" spans="1:4" x14ac:dyDescent="0.25">
      <c r="A23" s="129" t="s">
        <v>390</v>
      </c>
      <c r="B23" s="130" t="s">
        <v>391</v>
      </c>
      <c r="C23" s="131">
        <v>2.8299999999999999E-2</v>
      </c>
      <c r="D23" s="137" t="s">
        <v>379</v>
      </c>
    </row>
    <row r="24" spans="1:4" x14ac:dyDescent="0.25">
      <c r="A24" s="129" t="s">
        <v>392</v>
      </c>
      <c r="B24" s="130" t="s">
        <v>393</v>
      </c>
      <c r="C24" s="131">
        <v>1.1000000000000001E-3</v>
      </c>
      <c r="D24" s="132">
        <v>8.0000000000000004E-4</v>
      </c>
    </row>
    <row r="25" spans="1:4" x14ac:dyDescent="0.25">
      <c r="A25" s="129" t="s">
        <v>394</v>
      </c>
      <c r="B25" s="130" t="s">
        <v>395</v>
      </c>
      <c r="C25" s="131">
        <v>0.1086</v>
      </c>
      <c r="D25" s="132">
        <v>8.1500000000000003E-2</v>
      </c>
    </row>
    <row r="26" spans="1:4" x14ac:dyDescent="0.25">
      <c r="A26" s="129" t="s">
        <v>396</v>
      </c>
      <c r="B26" s="130" t="s">
        <v>397</v>
      </c>
      <c r="C26" s="131">
        <v>2.9999999999999997E-4</v>
      </c>
      <c r="D26" s="132">
        <v>2.0000000000000001E-4</v>
      </c>
    </row>
    <row r="27" spans="1:4" x14ac:dyDescent="0.25">
      <c r="A27" s="133" t="s">
        <v>398</v>
      </c>
      <c r="B27" s="134" t="s">
        <v>79</v>
      </c>
      <c r="C27" s="135">
        <f>SUM(C17:C26)</f>
        <v>0.48969999999999997</v>
      </c>
      <c r="D27" s="136">
        <f>D19+D20+D21+D22+D24+D25+D26</f>
        <v>0.1789</v>
      </c>
    </row>
    <row r="28" spans="1:4" x14ac:dyDescent="0.25">
      <c r="A28" s="190" t="s">
        <v>399</v>
      </c>
      <c r="B28" s="191"/>
      <c r="C28" s="191"/>
      <c r="D28" s="192"/>
    </row>
    <row r="29" spans="1:4" x14ac:dyDescent="0.25">
      <c r="A29" s="129" t="s">
        <v>400</v>
      </c>
      <c r="B29" s="130" t="s">
        <v>401</v>
      </c>
      <c r="C29" s="131">
        <v>7.1400000000000005E-2</v>
      </c>
      <c r="D29" s="132">
        <v>5.3600000000000002E-2</v>
      </c>
    </row>
    <row r="30" spans="1:4" x14ac:dyDescent="0.25">
      <c r="A30" s="129" t="s">
        <v>402</v>
      </c>
      <c r="B30" s="130" t="s">
        <v>403</v>
      </c>
      <c r="C30" s="131">
        <v>1.6999999999999999E-3</v>
      </c>
      <c r="D30" s="132">
        <v>1.2999999999999999E-3</v>
      </c>
    </row>
    <row r="31" spans="1:4" x14ac:dyDescent="0.25">
      <c r="A31" s="129" t="s">
        <v>404</v>
      </c>
      <c r="B31" s="130" t="s">
        <v>405</v>
      </c>
      <c r="C31" s="131">
        <v>3.2000000000000001E-2</v>
      </c>
      <c r="D31" s="132">
        <v>2.41E-2</v>
      </c>
    </row>
    <row r="32" spans="1:4" x14ac:dyDescent="0.25">
      <c r="A32" s="129" t="s">
        <v>406</v>
      </c>
      <c r="B32" s="130" t="s">
        <v>407</v>
      </c>
      <c r="C32" s="131">
        <v>5.3100000000000001E-2</v>
      </c>
      <c r="D32" s="132">
        <v>3.9899999999999998E-2</v>
      </c>
    </row>
    <row r="33" spans="1:4" x14ac:dyDescent="0.25">
      <c r="A33" s="129" t="s">
        <v>408</v>
      </c>
      <c r="B33" s="130" t="s">
        <v>409</v>
      </c>
      <c r="C33" s="131">
        <v>6.0000000000000001E-3</v>
      </c>
      <c r="D33" s="132">
        <v>4.4999999999999997E-3</v>
      </c>
    </row>
    <row r="34" spans="1:4" x14ac:dyDescent="0.25">
      <c r="A34" s="133" t="s">
        <v>410</v>
      </c>
      <c r="B34" s="134" t="s">
        <v>79</v>
      </c>
      <c r="C34" s="135">
        <f>SUM(C29:C33)</f>
        <v>0.16420000000000001</v>
      </c>
      <c r="D34" s="136">
        <f>SUM(D29:D33)</f>
        <v>0.12340000000000001</v>
      </c>
    </row>
    <row r="35" spans="1:4" x14ac:dyDescent="0.25">
      <c r="A35" s="190" t="s">
        <v>411</v>
      </c>
      <c r="B35" s="191"/>
      <c r="C35" s="191"/>
      <c r="D35" s="192"/>
    </row>
    <row r="36" spans="1:4" x14ac:dyDescent="0.25">
      <c r="A36" s="129" t="s">
        <v>412</v>
      </c>
      <c r="B36" s="130" t="s">
        <v>413</v>
      </c>
      <c r="C36" s="131">
        <v>0.1802</v>
      </c>
      <c r="D36" s="132">
        <v>6.5799999999999997E-2</v>
      </c>
    </row>
    <row r="37" spans="1:4" ht="36" x14ac:dyDescent="0.25">
      <c r="A37" s="129" t="s">
        <v>414</v>
      </c>
      <c r="B37" s="130" t="s">
        <v>415</v>
      </c>
      <c r="C37" s="131">
        <v>6.3E-3</v>
      </c>
      <c r="D37" s="132">
        <v>4.4999999999999997E-3</v>
      </c>
    </row>
    <row r="38" spans="1:4" x14ac:dyDescent="0.25">
      <c r="A38" s="133" t="s">
        <v>416</v>
      </c>
      <c r="B38" s="134" t="s">
        <v>79</v>
      </c>
      <c r="C38" s="135">
        <f>SUM(C36:C37)</f>
        <v>0.1865</v>
      </c>
      <c r="D38" s="136">
        <v>7.0599999999999996E-2</v>
      </c>
    </row>
    <row r="39" spans="1:4" ht="15.75" thickBot="1" x14ac:dyDescent="0.3">
      <c r="A39" s="193" t="s">
        <v>417</v>
      </c>
      <c r="B39" s="194"/>
      <c r="C39" s="138">
        <f>C15+C27+C34+C38</f>
        <v>1.2084000000000001</v>
      </c>
      <c r="D39" s="139">
        <f>D15+D27+D34+D38</f>
        <v>0.74090000000000011</v>
      </c>
    </row>
  </sheetData>
  <mergeCells count="10">
    <mergeCell ref="A16:D16"/>
    <mergeCell ref="A28:D28"/>
    <mergeCell ref="A35:D35"/>
    <mergeCell ref="A39:B39"/>
    <mergeCell ref="A1:D1"/>
    <mergeCell ref="A2:D2"/>
    <mergeCell ref="A3:A4"/>
    <mergeCell ref="B3:B4"/>
    <mergeCell ref="C3:D3"/>
    <mergeCell ref="A5:D5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</vt:lpstr>
      <vt:lpstr>CADERNO DE COMPOSIÇÃO</vt:lpstr>
      <vt:lpstr>CRONOGRAMA</vt:lpstr>
      <vt:lpstr>BDI</vt:lpstr>
      <vt:lpstr>ENCARGOS SOCIAIS</vt:lpstr>
      <vt:lpstr>'CADERNO DE COMPOSIÇÃO'!Area_de_impressao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2018-08-16T21:38:10Z</cp:lastPrinted>
  <dcterms:created xsi:type="dcterms:W3CDTF">2018-06-03T16:00:27Z</dcterms:created>
  <dcterms:modified xsi:type="dcterms:W3CDTF">2018-08-21T18:17:48Z</dcterms:modified>
</cp:coreProperties>
</file>