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+PREFEITURAS\+GARRAFÃO DO NORTE\EXERCICIO 21-24\Asfalto\Asfalto 2km Diana Belo\"/>
    </mc:Choice>
  </mc:AlternateContent>
  <bookViews>
    <workbookView xWindow="-120" yWindow="-120" windowWidth="21840" windowHeight="13140" tabRatio="930" firstSheet="1" activeTab="9"/>
  </bookViews>
  <sheets>
    <sheet name="ORÇAMENTO DESONERADO" sheetId="15" r:id="rId1"/>
    <sheet name="DADOS DA OBRA" sheetId="1" r:id="rId2"/>
    <sheet name="1.ADM. LOCAL" sheetId="2" r:id="rId3"/>
    <sheet name="2.SER.PREL." sheetId="4" r:id="rId4"/>
    <sheet name="COMPOS.MOBILIZAÇÃO" sheetId="14" state="hidden" r:id="rId5"/>
    <sheet name="MEMORIA" sheetId="24" r:id="rId6"/>
    <sheet name="B.D.I  DESONERADO" sheetId="13" r:id="rId7"/>
    <sheet name="CFF Não Desonerado" sheetId="17" r:id="rId8"/>
    <sheet name="COMPOSIÇÕES" sheetId="26" r:id="rId9"/>
    <sheet name="COTAÇÃO" sheetId="36" r:id="rId10"/>
  </sheets>
  <externalReferences>
    <externalReference r:id="rId11"/>
  </externalReferences>
  <definedNames>
    <definedName name="_xlnm.Print_Area" localSheetId="2">'1.ADM. LOCAL'!$A$1:$I$21</definedName>
    <definedName name="_xlnm.Print_Area" localSheetId="6">'B.D.I  DESONERADO'!$A$1:$T$33</definedName>
    <definedName name="_xlnm.Print_Area" localSheetId="7">'CFF Não Desonerado'!$A$1:$F$36</definedName>
    <definedName name="_xlnm.Print_Area" localSheetId="8">COMPOSIÇÕES!$A$1:$F$27</definedName>
    <definedName name="_xlnm.Print_Area" localSheetId="9">COTAÇÃO!$A$1:$L$30</definedName>
    <definedName name="_xlnm.Print_Area" localSheetId="1">'DADOS DA OBRA'!$A$1:$K$21</definedName>
    <definedName name="_xlnm.Print_Area" localSheetId="5">MEMORIA!$A$3:$K$296</definedName>
    <definedName name="_xlnm.Print_Area" localSheetId="0">'ORÇAMENTO DESONERADO'!$A$1:$I$101</definedName>
    <definedName name="ORÇAMENTO.BancoRef" localSheetId="8" hidden="1">#REF!</definedName>
    <definedName name="ORÇAMENTO.BancoRef" localSheetId="5" hidden="1">#REF!</definedName>
    <definedName name="ORÇAMENTO.BancoRef" localSheetId="0" hidden="1">'ORÇAMENTO DESONERADO'!$G$19</definedName>
    <definedName name="ORÇAMENTO.BancoRef" hidden="1">#REF!</definedName>
    <definedName name="ORÇAMENTO.CustoUnitario" localSheetId="8" hidden="1">ROUND(#REF!,15-13*#REF!)</definedName>
    <definedName name="ORÇAMENTO.CustoUnitario" localSheetId="5" hidden="1">ROUND(#REF!,15-13*#REF!)</definedName>
    <definedName name="ORÇAMENTO.CustoUnitario" localSheetId="0" hidden="1">ROUND('ORÇAMENTO DESONERADO'!$T1,15-13*'ORÇAMENTO DESONERADO'!$AD$19)</definedName>
    <definedName name="ORÇAMENTO.PrecoUnitarioLicitado" localSheetId="8" hidden="1">#REF!</definedName>
    <definedName name="ORÇAMENTO.PrecoUnitarioLicitado" localSheetId="5" hidden="1">#REF!</definedName>
    <definedName name="ORÇAMENTO.PrecoUnitarioLicitado" localSheetId="0" hidden="1">'ORÇAMENTO DESONERADO'!$AK1</definedName>
    <definedName name="Print_Area" localSheetId="2">'1.ADM. LOCAL'!$A$1:$I$21</definedName>
    <definedName name="Print_Area" localSheetId="3">'2.SER.PREL.'!$A$1:$K$38</definedName>
    <definedName name="Print_Area" localSheetId="6">'B.D.I  DESONERADO'!$A$1:$K$31</definedName>
    <definedName name="Print_Area" localSheetId="7">'CFF Não Desonerado'!$A$1:$F$36</definedName>
    <definedName name="Print_Area" localSheetId="4">COMPOS.MOBILIZAÇÃO!$A$1:$M$18</definedName>
    <definedName name="Print_Area" localSheetId="8">COMPOSIÇÕES!$A$1:$F$42</definedName>
    <definedName name="Print_Area" localSheetId="9">COTAÇÃO!$A$1:$L$30</definedName>
    <definedName name="Print_Area" localSheetId="1">'DADOS DA OBRA'!$A$1:$J$22</definedName>
    <definedName name="Print_Area" localSheetId="5">MEMORIA!$A$1:$K$297</definedName>
    <definedName name="Print_Area" localSheetId="0">'ORÇAMENTO DESONERADO'!$A$1:$I$101</definedName>
    <definedName name="Print_Titles" localSheetId="5">MEMORIA!$1:$5</definedName>
    <definedName name="REFERENCIA.Descricao" localSheetId="8" hidden="1">IF(ISNUMBER(#REF!),OFFSET(INDIRECT(COMPOSIÇÕES!ORÇAMENTO.BancoRef),#REF!-1,3,1),#REF!)</definedName>
    <definedName name="REFERENCIA.Descricao" localSheetId="5" hidden="1">IF(ISNUMBER(#REF!),OFFSET(INDIRECT(MEMORIA!ORÇAMENTO.BancoRef),#REF!-1,3,1),#REF!)</definedName>
    <definedName name="REFERENCIA.Descricao" localSheetId="0" hidden="1">IF(ISNUMBER('ORÇAMENTO DESONERADO'!$AE1),OFFSET(INDIRECT('ORÇAMENTO DESONERADO'!ORÇAMENTO.BancoRef),'ORÇAMENTO DESONERADO'!$AE1-1,3,1),'ORÇAMENTO DESONERADO'!$AE1)</definedName>
    <definedName name="REFERENCIA.Unidade" localSheetId="8" hidden="1">IF(ISNUMBER(#REF!),OFFSET(INDIRECT(COMPOSIÇÕES!ORÇAMENTO.BancoRef),#REF!-1,4,1),"-")</definedName>
    <definedName name="REFERENCIA.Unidade" localSheetId="5" hidden="1">IF(ISNUMBER(#REF!),OFFSET(INDIRECT(MEMORIA!ORÇAMENTO.BancoRef),#REF!-1,4,1),"-")</definedName>
    <definedName name="REFERENCIA.Unidade" localSheetId="0" hidden="1">IF(ISNUMBER('ORÇAMENTO DESONERADO'!$AE1),OFFSET(INDIRECT('ORÇAMENTO DESONERADO'!ORÇAMENTO.BancoRef),'ORÇAMENTO DESONERADO'!$AE1-1,4,1),"-")</definedName>
    <definedName name="SomaAgrup" localSheetId="8" hidden="1">SUMIF(OFFSET(#REF!,1,0,#REF!),"S",OFFSET(#REF!,1,0,#REF!))</definedName>
    <definedName name="SomaAgrup" localSheetId="5" hidden="1">SUMIF(OFFSET(#REF!,1,0,#REF!),"S",OFFSET(#REF!,1,0,#REF!))</definedName>
    <definedName name="SomaAgrup" localSheetId="0" hidden="1">SUMIF(OFFSET('ORÇAMENTO DESONERADO'!$D1,1,0,'ORÇAMENTO DESONERADO'!$E1),"S",OFFSET('ORÇAMENTO DESONERADO'!A1,1,0,'ORÇAMENTO DESONERADO'!$E1))</definedName>
    <definedName name="TIPOORCAMENTO" hidden="1">IF(VALUE([1]MENU!$O$3)=2,"Licitado","Proposto")</definedName>
    <definedName name="VTOTAL1" localSheetId="8" hidden="1">ROUND(#REF!*#REF!,15-13*#REF!)</definedName>
    <definedName name="VTOTAL1" localSheetId="5" hidden="1">ROUND(#REF!*#REF!,15-13*#REF!)</definedName>
    <definedName name="VTOTAL1" localSheetId="0" hidden="1">ROUND('ORÇAMENTO DESONERADO'!$S1*'ORÇAMENTO DESONERADO'!$V1,15-13*'ORÇAMENTO DESONERADO'!#REF!)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7" l="1"/>
  <c r="E11" i="17"/>
  <c r="E32" i="17"/>
  <c r="E29" i="17"/>
  <c r="D29" i="17"/>
  <c r="E26" i="17"/>
  <c r="E23" i="17"/>
  <c r="D23" i="17"/>
  <c r="E20" i="17"/>
  <c r="D20" i="17"/>
  <c r="F30" i="17"/>
  <c r="B30" i="17"/>
  <c r="F27" i="17"/>
  <c r="B27" i="17"/>
  <c r="F24" i="17"/>
  <c r="B24" i="17"/>
  <c r="F21" i="17"/>
  <c r="B21" i="17"/>
  <c r="B18" i="17"/>
  <c r="F18" i="17"/>
  <c r="E25" i="26"/>
  <c r="F79" i="15"/>
  <c r="C296" i="24"/>
  <c r="E294" i="24"/>
  <c r="E293" i="24"/>
  <c r="C294" i="24"/>
  <c r="C293" i="24"/>
  <c r="E250" i="24"/>
  <c r="E249" i="24"/>
  <c r="C250" i="24"/>
  <c r="C249" i="24"/>
  <c r="B290" i="24"/>
  <c r="B288" i="24"/>
  <c r="E258" i="24"/>
  <c r="E282" i="24" s="1"/>
  <c r="B240" i="24"/>
  <c r="B239" i="24"/>
  <c r="B233" i="24"/>
  <c r="B231" i="24"/>
  <c r="B232" i="24"/>
  <c r="B224" i="24"/>
  <c r="B223" i="24"/>
  <c r="B236" i="24"/>
  <c r="A236" i="24"/>
  <c r="B228" i="24"/>
  <c r="A228" i="24"/>
  <c r="B220" i="24"/>
  <c r="A220" i="24"/>
  <c r="B199" i="24"/>
  <c r="A199" i="24"/>
  <c r="G214" i="24"/>
  <c r="G213" i="24"/>
  <c r="H187" i="24"/>
  <c r="H186" i="24"/>
  <c r="H195" i="24"/>
  <c r="H194" i="24"/>
  <c r="H179" i="24"/>
  <c r="H178" i="24"/>
  <c r="E179" i="24"/>
  <c r="E187" i="24" s="1"/>
  <c r="I187" i="24" s="1"/>
  <c r="C224" i="24" s="1"/>
  <c r="I224" i="24" s="1"/>
  <c r="E178" i="24"/>
  <c r="G143" i="24"/>
  <c r="E143" i="24"/>
  <c r="G142" i="24"/>
  <c r="E142" i="24"/>
  <c r="B147" i="24"/>
  <c r="B155" i="24"/>
  <c r="B133" i="24"/>
  <c r="B143" i="24" s="1"/>
  <c r="B159" i="24" s="1"/>
  <c r="E133" i="24"/>
  <c r="G133" i="24" s="1"/>
  <c r="H133" i="24"/>
  <c r="G29" i="4"/>
  <c r="D31" i="4"/>
  <c r="F29" i="4"/>
  <c r="F28" i="4"/>
  <c r="I28" i="4" s="1"/>
  <c r="C28" i="4"/>
  <c r="E33" i="17" l="1"/>
  <c r="E34" i="17" s="1"/>
  <c r="E269" i="24"/>
  <c r="I178" i="24"/>
  <c r="E205" i="24" s="1"/>
  <c r="J205" i="24" s="1"/>
  <c r="B250" i="24"/>
  <c r="B258" i="24" s="1"/>
  <c r="B269" i="24"/>
  <c r="B282" i="24"/>
  <c r="B294" i="24" s="1"/>
  <c r="C231" i="24"/>
  <c r="C240" i="24"/>
  <c r="I240" i="24" s="1"/>
  <c r="C239" i="24"/>
  <c r="I239" i="24" s="1"/>
  <c r="C223" i="24"/>
  <c r="I223" i="24" s="1"/>
  <c r="C226" i="24" s="1"/>
  <c r="F46" i="15" s="1"/>
  <c r="E213" i="24"/>
  <c r="I213" i="24" s="1"/>
  <c r="C197" i="24"/>
  <c r="I179" i="24"/>
  <c r="E206" i="24"/>
  <c r="B206" i="24"/>
  <c r="B214" i="24" s="1"/>
  <c r="E186" i="24"/>
  <c r="I186" i="24" s="1"/>
  <c r="B151" i="24"/>
  <c r="I133" i="24"/>
  <c r="E166" i="24" s="1"/>
  <c r="G28" i="4"/>
  <c r="G98" i="15"/>
  <c r="G97" i="15"/>
  <c r="G96" i="15"/>
  <c r="G88" i="15"/>
  <c r="G85" i="15" s="1"/>
  <c r="F88" i="15"/>
  <c r="F87" i="15"/>
  <c r="F86" i="15"/>
  <c r="C258" i="24" l="1"/>
  <c r="C269" i="24" s="1"/>
  <c r="K269" i="24" s="1"/>
  <c r="G250" i="24"/>
  <c r="C181" i="24"/>
  <c r="F36" i="15" s="1"/>
  <c r="C232" i="24"/>
  <c r="I232" i="24" s="1"/>
  <c r="C189" i="24"/>
  <c r="I231" i="24"/>
  <c r="J206" i="24"/>
  <c r="C208" i="24" s="1"/>
  <c r="E214" i="24"/>
  <c r="I214" i="24" s="1"/>
  <c r="C216" i="24" s="1"/>
  <c r="F44" i="15" s="1"/>
  <c r="B166" i="24"/>
  <c r="B179" i="24"/>
  <c r="B187" i="24" s="1"/>
  <c r="B195" i="24" s="1"/>
  <c r="I143" i="24"/>
  <c r="I166" i="24"/>
  <c r="C234" i="24" l="1"/>
  <c r="F47" i="15" s="1"/>
  <c r="C282" i="24"/>
  <c r="I282" i="24" s="1"/>
  <c r="H258" i="24"/>
  <c r="D151" i="24"/>
  <c r="E13" i="1"/>
  <c r="H12" i="1"/>
  <c r="F12" i="1"/>
  <c r="H151" i="24" l="1"/>
  <c r="E159" i="24" s="1"/>
  <c r="K159" i="24" s="1"/>
  <c r="E132" i="24"/>
  <c r="F103" i="24"/>
  <c r="F104" i="24"/>
  <c r="F102" i="24"/>
  <c r="B104" i="24"/>
  <c r="G88" i="24"/>
  <c r="G87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D81" i="24"/>
  <c r="E102" i="24" s="1"/>
  <c r="D82" i="24"/>
  <c r="E103" i="24" s="1"/>
  <c r="B55" i="24"/>
  <c r="A55" i="24"/>
  <c r="C34" i="24"/>
  <c r="C43" i="24" s="1"/>
  <c r="F32" i="24"/>
  <c r="F42" i="24" s="1"/>
  <c r="D32" i="24"/>
  <c r="B82" i="24" s="1"/>
  <c r="D31" i="24"/>
  <c r="D41" i="24" s="1"/>
  <c r="D51" i="24" s="1"/>
  <c r="C32" i="24"/>
  <c r="C42" i="24" s="1"/>
  <c r="C58" i="24" s="1"/>
  <c r="C31" i="24"/>
  <c r="C41" i="24" s="1"/>
  <c r="C51" i="24" s="1"/>
  <c r="C14" i="24"/>
  <c r="F11" i="24"/>
  <c r="C82" i="24" l="1"/>
  <c r="O99" i="24"/>
  <c r="B81" i="24"/>
  <c r="C72" i="24"/>
  <c r="B102" i="24" s="1"/>
  <c r="C73" i="24"/>
  <c r="B103" i="24" s="1"/>
  <c r="D72" i="24"/>
  <c r="C102" i="24" s="1"/>
  <c r="G32" i="24"/>
  <c r="D42" i="24"/>
  <c r="D103" i="24" l="1"/>
  <c r="G82" i="24"/>
  <c r="D58" i="24"/>
  <c r="C60" i="24" s="1"/>
  <c r="D73" i="24"/>
  <c r="G73" i="24" l="1"/>
  <c r="C103" i="24"/>
  <c r="G103" i="24" s="1"/>
  <c r="F40" i="26"/>
  <c r="F39" i="26"/>
  <c r="F38" i="26"/>
  <c r="F37" i="26"/>
  <c r="F36" i="26"/>
  <c r="F35" i="26"/>
  <c r="F34" i="26"/>
  <c r="F33" i="26"/>
  <c r="F32" i="26"/>
  <c r="F31" i="26"/>
  <c r="I21" i="36" l="1"/>
  <c r="D42" i="26" l="1"/>
  <c r="G47" i="15" s="1"/>
  <c r="G32" i="26"/>
  <c r="G33" i="26"/>
  <c r="F25" i="26" l="1"/>
  <c r="F24" i="26"/>
  <c r="F23" i="26"/>
  <c r="F22" i="26"/>
  <c r="F21" i="26"/>
  <c r="F20" i="26"/>
  <c r="F19" i="26"/>
  <c r="F18" i="26"/>
  <c r="D27" i="26" l="1"/>
  <c r="G52" i="15" s="1"/>
  <c r="C65" i="24"/>
  <c r="A290" i="24" l="1"/>
  <c r="E21" i="24" l="1"/>
  <c r="D83" i="24" s="1"/>
  <c r="E104" i="24" s="1"/>
  <c r="A288" i="24" l="1"/>
  <c r="B132" i="24"/>
  <c r="C122" i="24"/>
  <c r="G44" i="24"/>
  <c r="C113" i="24"/>
  <c r="A117" i="24"/>
  <c r="B117" i="24"/>
  <c r="B108" i="24"/>
  <c r="A108" i="24"/>
  <c r="E74" i="24"/>
  <c r="B74" i="24"/>
  <c r="B72" i="24"/>
  <c r="B73" i="24" s="1"/>
  <c r="F34" i="24"/>
  <c r="F44" i="24" s="1"/>
  <c r="C83" i="24" s="1"/>
  <c r="F31" i="24"/>
  <c r="D24" i="24"/>
  <c r="D14" i="24"/>
  <c r="F10" i="24"/>
  <c r="A18" i="24"/>
  <c r="B18" i="24"/>
  <c r="A28" i="24"/>
  <c r="B28" i="24"/>
  <c r="A38" i="24"/>
  <c r="B38" i="24"/>
  <c r="A48" i="24"/>
  <c r="B48" i="24"/>
  <c r="A62" i="24"/>
  <c r="B62" i="24"/>
  <c r="A69" i="24"/>
  <c r="B69" i="24"/>
  <c r="A78" i="24"/>
  <c r="B78" i="24"/>
  <c r="A92" i="24"/>
  <c r="B92" i="24"/>
  <c r="A99" i="24"/>
  <c r="B99" i="24"/>
  <c r="B7" i="24"/>
  <c r="A7" i="24"/>
  <c r="B6" i="24"/>
  <c r="A6" i="24"/>
  <c r="C27" i="4"/>
  <c r="F27" i="4"/>
  <c r="D104" i="24" l="1"/>
  <c r="F41" i="24"/>
  <c r="H41" i="24" s="1"/>
  <c r="C81" i="24"/>
  <c r="G81" i="24" s="1"/>
  <c r="G31" i="24"/>
  <c r="F21" i="24"/>
  <c r="C24" i="24"/>
  <c r="F14" i="24"/>
  <c r="C16" i="24" s="1"/>
  <c r="D102" i="24" l="1"/>
  <c r="G102" i="24" s="1"/>
  <c r="H42" i="24"/>
  <c r="C53" i="24"/>
  <c r="G72" i="24"/>
  <c r="F24" i="24"/>
  <c r="C26" i="24" s="1"/>
  <c r="D34" i="24"/>
  <c r="B83" i="24" s="1"/>
  <c r="G83" i="24" s="1"/>
  <c r="H12" i="4"/>
  <c r="F64" i="15" l="1"/>
  <c r="F85" i="15"/>
  <c r="F62" i="15"/>
  <c r="F83" i="15"/>
  <c r="C90" i="24"/>
  <c r="B95" i="24" s="1"/>
  <c r="H95" i="24" s="1"/>
  <c r="C97" i="24" s="1"/>
  <c r="G34" i="24"/>
  <c r="C36" i="24" s="1"/>
  <c r="D44" i="24"/>
  <c r="H44" i="24" s="1"/>
  <c r="C46" i="24" s="1"/>
  <c r="D14" i="4"/>
  <c r="F17" i="15" s="1"/>
  <c r="H132" i="24"/>
  <c r="D65" i="24" l="1"/>
  <c r="C67" i="24" s="1"/>
  <c r="D74" i="24"/>
  <c r="C104" i="24" s="1"/>
  <c r="G104" i="24" s="1"/>
  <c r="C106" i="24" s="1"/>
  <c r="G74" i="24" l="1"/>
  <c r="F63" i="15" l="1"/>
  <c r="F84" i="15"/>
  <c r="C76" i="24"/>
  <c r="U18" i="14" l="1"/>
  <c r="Y12" i="14"/>
  <c r="V12" i="14"/>
  <c r="T12" i="14"/>
  <c r="Q13" i="14"/>
  <c r="P14" i="14"/>
  <c r="Q14" i="14" s="1"/>
  <c r="A4" i="13" l="1"/>
  <c r="G64" i="15" l="1"/>
  <c r="G61" i="15" l="1"/>
  <c r="A4" i="17"/>
  <c r="A4" i="4"/>
  <c r="A4" i="14" s="1"/>
  <c r="A4" i="24" s="1"/>
  <c r="A4" i="2"/>
  <c r="A4" i="1"/>
  <c r="A4" i="26" l="1"/>
  <c r="A4" i="36" s="1"/>
  <c r="H11" i="1"/>
  <c r="F11" i="1"/>
  <c r="F13" i="1" s="1"/>
  <c r="H13" i="1" l="1"/>
  <c r="H23" i="14"/>
  <c r="B150" i="24"/>
  <c r="G73" i="15" l="1"/>
  <c r="G72" i="15"/>
  <c r="F92" i="15"/>
  <c r="G74" i="15" l="1"/>
  <c r="J34" i="1"/>
  <c r="J21" i="13" l="1"/>
  <c r="J14" i="13" s="1"/>
  <c r="P42" i="13"/>
  <c r="J23" i="13" l="1"/>
  <c r="K9" i="15" s="1"/>
  <c r="D22" i="4"/>
  <c r="F18" i="15" s="1"/>
  <c r="F11" i="26"/>
  <c r="F12" i="26"/>
  <c r="F10" i="26"/>
  <c r="B200" i="24"/>
  <c r="H46" i="15" l="1"/>
  <c r="I46" i="15" s="1"/>
  <c r="H86" i="15"/>
  <c r="I86" i="15" s="1"/>
  <c r="H79" i="15"/>
  <c r="I79" i="15" s="1"/>
  <c r="H92" i="15"/>
  <c r="I92" i="15" s="1"/>
  <c r="H84" i="15"/>
  <c r="I84" i="15" s="1"/>
  <c r="H87" i="15"/>
  <c r="I87" i="15" s="1"/>
  <c r="H83" i="15"/>
  <c r="I83" i="15" s="1"/>
  <c r="H96" i="15"/>
  <c r="I96" i="15" s="1"/>
  <c r="H97" i="15"/>
  <c r="I97" i="15" s="1"/>
  <c r="H85" i="15"/>
  <c r="I85" i="15" s="1"/>
  <c r="H98" i="15"/>
  <c r="I98" i="15" s="1"/>
  <c r="H88" i="15"/>
  <c r="I88" i="15" s="1"/>
  <c r="H59" i="15"/>
  <c r="H63" i="15"/>
  <c r="I63" i="15" s="1"/>
  <c r="H60" i="15"/>
  <c r="H62" i="15"/>
  <c r="I62" i="15" s="1"/>
  <c r="H64" i="15"/>
  <c r="I64" i="15" s="1"/>
  <c r="H61" i="15"/>
  <c r="H72" i="15"/>
  <c r="I72" i="15" s="1"/>
  <c r="H73" i="15"/>
  <c r="I73" i="15" s="1"/>
  <c r="H74" i="15"/>
  <c r="I74" i="15" s="1"/>
  <c r="D14" i="26"/>
  <c r="G7" i="15"/>
  <c r="B210" i="24"/>
  <c r="A210" i="24"/>
  <c r="B202" i="24"/>
  <c r="A202" i="24"/>
  <c r="A200" i="24"/>
  <c r="B191" i="24"/>
  <c r="A191" i="24"/>
  <c r="A183" i="24"/>
  <c r="B183" i="24"/>
  <c r="B175" i="24"/>
  <c r="A175" i="24"/>
  <c r="B173" i="24"/>
  <c r="A173" i="24"/>
  <c r="B128" i="24"/>
  <c r="A128" i="24"/>
  <c r="I80" i="15" l="1"/>
  <c r="H54" i="15"/>
  <c r="H55" i="15"/>
  <c r="A147" i="24"/>
  <c r="B139" i="24"/>
  <c r="A139" i="24"/>
  <c r="B129" i="24"/>
  <c r="A129" i="24"/>
  <c r="B6" i="2"/>
  <c r="A6" i="2"/>
  <c r="G20" i="2"/>
  <c r="G13" i="2" s="1"/>
  <c r="I13" i="2" s="1"/>
  <c r="G19" i="2"/>
  <c r="G12" i="2" s="1"/>
  <c r="I12" i="2" s="1"/>
  <c r="G18" i="2"/>
  <c r="G11" i="2" s="1"/>
  <c r="I11" i="2" s="1"/>
  <c r="B249" i="24" l="1"/>
  <c r="B142" i="24"/>
  <c r="B158" i="24" s="1"/>
  <c r="B205" i="24"/>
  <c r="B213" i="24" s="1"/>
  <c r="I14" i="2"/>
  <c r="G13" i="15" s="1"/>
  <c r="B15" i="17" l="1"/>
  <c r="B12" i="17" l="1"/>
  <c r="B9" i="17"/>
  <c r="F19" i="15" l="1"/>
  <c r="I132" i="24" l="1"/>
  <c r="G132" i="24"/>
  <c r="C242" i="24"/>
  <c r="I47" i="15" s="1"/>
  <c r="C135" i="24" l="1"/>
  <c r="E165" i="24"/>
  <c r="I165" i="24" s="1"/>
  <c r="C168" i="24" s="1"/>
  <c r="I142" i="24"/>
  <c r="F48" i="15"/>
  <c r="F38" i="15"/>
  <c r="F28" i="15"/>
  <c r="B280" i="24"/>
  <c r="B264" i="24"/>
  <c r="B278" i="24"/>
  <c r="B246" i="24"/>
  <c r="B254" i="24"/>
  <c r="A246" i="24"/>
  <c r="A254" i="24"/>
  <c r="A264" i="24"/>
  <c r="A278" i="24"/>
  <c r="B245" i="24"/>
  <c r="A245" i="24"/>
  <c r="B163" i="24"/>
  <c r="A163" i="24"/>
  <c r="B178" i="24"/>
  <c r="B186" i="24" s="1"/>
  <c r="B194" i="24" s="1"/>
  <c r="A155" i="24"/>
  <c r="B126" i="24"/>
  <c r="A126" i="24"/>
  <c r="G27" i="4"/>
  <c r="F43" i="15" l="1"/>
  <c r="C145" i="24"/>
  <c r="F29" i="15" s="1"/>
  <c r="F37" i="15"/>
  <c r="F32" i="15"/>
  <c r="D150" i="24"/>
  <c r="H150" i="24" s="1"/>
  <c r="B165" i="24"/>
  <c r="C257" i="24"/>
  <c r="C268" i="24" s="1"/>
  <c r="E257" i="24"/>
  <c r="E281" i="24" s="1"/>
  <c r="I27" i="4"/>
  <c r="I29" i="4" s="1"/>
  <c r="F61" i="15" l="1"/>
  <c r="I61" i="15" s="1"/>
  <c r="F59" i="15"/>
  <c r="I59" i="15" s="1"/>
  <c r="C281" i="24"/>
  <c r="H257" i="24"/>
  <c r="F260" i="24" s="1"/>
  <c r="E268" i="24"/>
  <c r="G249" i="24"/>
  <c r="F252" i="24" s="1"/>
  <c r="B257" i="24"/>
  <c r="B268" i="24" s="1"/>
  <c r="F60" i="15" l="1"/>
  <c r="I60" i="15" s="1"/>
  <c r="I281" i="24"/>
  <c r="F53" i="15"/>
  <c r="K268" i="24"/>
  <c r="C272" i="24" s="1"/>
  <c r="F52" i="15"/>
  <c r="B281" i="24"/>
  <c r="E22" i="4"/>
  <c r="E14" i="4"/>
  <c r="F55" i="15" l="1"/>
  <c r="C284" i="24"/>
  <c r="B293" i="24"/>
  <c r="F68" i="15"/>
  <c r="G272" i="24"/>
  <c r="E274" i="24" s="1"/>
  <c r="F54" i="15" s="1"/>
  <c r="C153" i="24" l="1"/>
  <c r="F30" i="15" s="1"/>
  <c r="E158" i="24"/>
  <c r="K158" i="24" s="1"/>
  <c r="C161" i="24" s="1"/>
  <c r="F31" i="15" s="1"/>
  <c r="C24" i="4" l="1"/>
  <c r="C16" i="4"/>
  <c r="C9" i="4"/>
  <c r="B24" i="4"/>
  <c r="B16" i="4"/>
  <c r="B9" i="4"/>
  <c r="C7" i="4"/>
  <c r="B7" i="4"/>
  <c r="G11" i="15" l="1"/>
  <c r="H31" i="15" l="1"/>
  <c r="I31" i="15" s="1"/>
  <c r="H37" i="15"/>
  <c r="I37" i="15" s="1"/>
  <c r="H30" i="15"/>
  <c r="I30" i="15" s="1"/>
  <c r="H44" i="15"/>
  <c r="I44" i="15" s="1"/>
  <c r="H48" i="15"/>
  <c r="I48" i="15" s="1"/>
  <c r="H29" i="15"/>
  <c r="I29" i="15" s="1"/>
  <c r="H43" i="15"/>
  <c r="I43" i="15" s="1"/>
  <c r="H28" i="15"/>
  <c r="I28" i="15" s="1"/>
  <c r="H36" i="15"/>
  <c r="I36" i="15" s="1"/>
  <c r="H32" i="15"/>
  <c r="I32" i="15" s="1"/>
  <c r="I33" i="15" l="1"/>
  <c r="I49" i="15"/>
  <c r="H13" i="15"/>
  <c r="I54" i="15"/>
  <c r="H17" i="15"/>
  <c r="H38" i="15"/>
  <c r="I38" i="15" s="1"/>
  <c r="I39" i="15" s="1"/>
  <c r="H19" i="15"/>
  <c r="H52" i="15"/>
  <c r="H53" i="15"/>
  <c r="H68" i="15"/>
  <c r="I17" i="15" l="1"/>
  <c r="I13" i="15"/>
  <c r="I68" i="15"/>
  <c r="I19" i="15"/>
  <c r="I14" i="15" l="1"/>
  <c r="I52" i="15"/>
  <c r="I55" i="15"/>
  <c r="F9" i="17" l="1"/>
  <c r="I53" i="15"/>
  <c r="I56" i="15" l="1"/>
  <c r="Q5" i="14" l="1"/>
  <c r="Q7" i="14" s="1"/>
  <c r="H24" i="14" l="1"/>
  <c r="H26" i="14" s="1"/>
  <c r="M17" i="14" l="1"/>
  <c r="M23" i="14" l="1"/>
  <c r="H23" i="15"/>
  <c r="I23" i="15" s="1"/>
  <c r="I24" i="15" l="1"/>
  <c r="F15" i="17" l="1"/>
  <c r="E17" i="17" s="1"/>
  <c r="D17" i="17" l="1"/>
  <c r="I18" i="15"/>
  <c r="I20" i="15" s="1"/>
  <c r="I101" i="15" s="1"/>
  <c r="K23" i="15" s="1"/>
  <c r="F12" i="17" l="1"/>
  <c r="I105" i="15"/>
  <c r="F33" i="17" l="1"/>
  <c r="C27" i="17" s="1"/>
  <c r="L18" i="2"/>
  <c r="M141" i="24"/>
  <c r="H33" i="17"/>
  <c r="K105" i="15"/>
  <c r="P5" i="14"/>
  <c r="H35" i="17" l="1"/>
  <c r="C18" i="17"/>
  <c r="C30" i="17"/>
  <c r="C24" i="17"/>
  <c r="C9" i="17"/>
  <c r="C21" i="17"/>
  <c r="C15" i="17"/>
  <c r="C12" i="17"/>
  <c r="D26" i="17"/>
  <c r="D33" i="17"/>
  <c r="D34" i="17" s="1"/>
  <c r="D11" i="17"/>
  <c r="D36" i="17" l="1"/>
  <c r="E36" i="17" s="1"/>
  <c r="F34" i="17"/>
  <c r="D35" i="17"/>
  <c r="E35" i="17" s="1"/>
</calcChain>
</file>

<file path=xl/sharedStrings.xml><?xml version="1.0" encoding="utf-8"?>
<sst xmlns="http://schemas.openxmlformats.org/spreadsheetml/2006/main" count="859" uniqueCount="387">
  <si>
    <t>DADOS DE ENTRADA</t>
  </si>
  <si>
    <t>Dimensões</t>
  </si>
  <si>
    <t>Rua</t>
  </si>
  <si>
    <t>Comprimento</t>
  </si>
  <si>
    <t>Largura</t>
  </si>
  <si>
    <t>Área</t>
  </si>
  <si>
    <t>m</t>
  </si>
  <si>
    <t>km</t>
  </si>
  <si>
    <t>m²</t>
  </si>
  <si>
    <t>TOTAL</t>
  </si>
  <si>
    <t>Distância Média de Transporte (DMT)</t>
  </si>
  <si>
    <t>h/dia</t>
  </si>
  <si>
    <t>dias/mês</t>
  </si>
  <si>
    <t>quant. Meses</t>
  </si>
  <si>
    <t>x</t>
  </si>
  <si>
    <t>L=</t>
  </si>
  <si>
    <t>H</t>
  </si>
  <si>
    <t>ADMINISTRAÇÃO LOCAL</t>
  </si>
  <si>
    <t>ENGENHEIRO CIVIL DE OBRA PLENO COM ENCARGOS COMPLEMENTARES</t>
  </si>
  <si>
    <t>ENCARREGADO GERAL COM ENCARGOS COMPLEMENTARES</t>
  </si>
  <si>
    <t>SINAPI</t>
  </si>
  <si>
    <t>SERVIÇOS PRELIMINARES</t>
  </si>
  <si>
    <t>SICRO</t>
  </si>
  <si>
    <t>001</t>
  </si>
  <si>
    <t>PAVIMENTAÇÃO</t>
  </si>
  <si>
    <t>SINALIZAÇÃO HORIZONTAL</t>
  </si>
  <si>
    <t>Fonte</t>
  </si>
  <si>
    <t>Código</t>
  </si>
  <si>
    <t>Descrição</t>
  </si>
  <si>
    <t>Unidade</t>
  </si>
  <si>
    <t>Quantidade</t>
  </si>
  <si>
    <t>Preço Unitário (com BDI) (R$)</t>
  </si>
  <si>
    <t>Preço Total
(R$)</t>
  </si>
  <si>
    <t xml:space="preserve">M2    </t>
  </si>
  <si>
    <t>M2</t>
  </si>
  <si>
    <t>UND</t>
  </si>
  <si>
    <t>M3</t>
  </si>
  <si>
    <t>M3XKM</t>
  </si>
  <si>
    <t>Comp.</t>
  </si>
  <si>
    <t>Lagura</t>
  </si>
  <si>
    <t>=</t>
  </si>
  <si>
    <t>largura</t>
  </si>
  <si>
    <t>comp.</t>
  </si>
  <si>
    <t>Espessura</t>
  </si>
  <si>
    <t>Total</t>
  </si>
  <si>
    <t>Volume</t>
  </si>
  <si>
    <t>Empolamento (25%)</t>
  </si>
  <si>
    <t>ITEM</t>
  </si>
  <si>
    <t>1.1</t>
  </si>
  <si>
    <t>2</t>
  </si>
  <si>
    <t>2.1</t>
  </si>
  <si>
    <t>2.2</t>
  </si>
  <si>
    <t>2.3</t>
  </si>
  <si>
    <t>3</t>
  </si>
  <si>
    <t>3.1</t>
  </si>
  <si>
    <t>6.1</t>
  </si>
  <si>
    <t>6.2</t>
  </si>
  <si>
    <t>6.3</t>
  </si>
  <si>
    <t>6.4</t>
  </si>
  <si>
    <t>7.2</t>
  </si>
  <si>
    <t>OBS:</t>
  </si>
  <si>
    <t>Prof. de Escavação</t>
  </si>
  <si>
    <t>7.1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</si>
  <si>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</si>
  <si>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</si>
  <si>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</si>
  <si>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</si>
  <si>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</si>
  <si>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</si>
  <si>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</si>
  <si>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</si>
  <si>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ISS</t>
  </si>
  <si>
    <t>PIS</t>
  </si>
  <si>
    <t>COFINS</t>
  </si>
  <si>
    <t>CPRB</t>
  </si>
  <si>
    <t>Total Impostos =</t>
  </si>
  <si>
    <t>Fórmula para o cálculo de BDI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</si>
  <si>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</si>
  <si>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</si>
  <si>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</si>
  <si>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</si>
  <si>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</si>
  <si>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>1) Alíquota de ISS é determinada pela “Relação de Serviços”  do município onde se prestará o serviço conforme art. 1º e art.8º da Lei Complementar nº116/2001.</t>
  </si>
  <si>
    <t>TOTAL GERAL</t>
  </si>
  <si>
    <t>Largura (m)</t>
  </si>
  <si>
    <t>FONTE</t>
  </si>
  <si>
    <t>CÓDIGO</t>
  </si>
  <si>
    <t>EQUIPAMENTOS TRANSPORTADORES</t>
  </si>
  <si>
    <t>ORIGEM</t>
  </si>
  <si>
    <t>DESTINO</t>
  </si>
  <si>
    <t>K 
(Nº VIAGENS)</t>
  </si>
  <si>
    <t>DIST.</t>
  </si>
  <si>
    <t>VELOCIDADE  (KM/H)</t>
  </si>
  <si>
    <t>QUANTIDADE DE EQUIPAMENTOS</t>
  </si>
  <si>
    <t>PREÇO UNIT.</t>
  </si>
  <si>
    <t>PREÇO TOTAL</t>
  </si>
  <si>
    <t>E9665</t>
  </si>
  <si>
    <t>CAVALO MECÂNICO COM SEMI-REBOQUE E CAPACIDADE DE 35 T - 210 KW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</si>
  <si>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</si>
  <si>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CAMINHÃO BASCULANTE 6 M3, PESO BRUTO TOTAL 16.000 KG, CARGA ÚTIL MÁXIMA 13.071 KG, DISTÂNCIA ENTRE EIXOS 4,80 M, POTÊNCIA 230 CV INCLUSIVE CAÇAMBA METÁLICA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</si>
  <si>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</si>
  <si>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</si>
  <si>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ESPARGIDOR DE ASFALTO PRESSURIZADO, TANQUE 6 M3 COM ISOLAÇÃO TÉRMICA, AQUECIDO COM 2 MAÇARICOS, COM BARRA ESPARGIDORA 3,60 M, MONTADO SOBRE CAMINHÃO TOCO, PBT 14.300 KG, POTÊNCIA 185 CV - CHP DIURNO. AF_08/2015</t>
  </si>
  <si>
    <t>DESCRIÇÃO</t>
  </si>
  <si>
    <t>QUANT.</t>
  </si>
  <si>
    <t>96464</t>
  </si>
  <si>
    <t>VIAS</t>
  </si>
  <si>
    <t>Jazida aterro</t>
  </si>
  <si>
    <t>%</t>
  </si>
  <si>
    <t>1º MÊS</t>
  </si>
  <si>
    <t>2º MÊS</t>
  </si>
  <si>
    <t>TOTAL DO MÊS</t>
  </si>
  <si>
    <t>PERCENTUAL SIMPLES (%)</t>
  </si>
  <si>
    <t>ACUMULADO NO MÊS (R$)</t>
  </si>
  <si>
    <t>PERCENTUAL ACUMULADO</t>
  </si>
  <si>
    <t>PARCELA DO BDI</t>
  </si>
  <si>
    <t>volume</t>
  </si>
  <si>
    <t>DMT</t>
  </si>
  <si>
    <t>CPU</t>
  </si>
  <si>
    <t>002</t>
  </si>
  <si>
    <t>003</t>
  </si>
  <si>
    <t>COMPOSIÇÃO 002</t>
  </si>
  <si>
    <t>BDI  DESONERADO</t>
  </si>
  <si>
    <t>BELEM</t>
  </si>
  <si>
    <t>REGIONAL</t>
  </si>
  <si>
    <t>X</t>
  </si>
  <si>
    <t>JAZIDA</t>
  </si>
  <si>
    <t>COMPOSIÇÃO</t>
  </si>
  <si>
    <t>UND.</t>
  </si>
  <si>
    <t>PREÇO (R$)</t>
  </si>
  <si>
    <t>UNITÁRIO</t>
  </si>
  <si>
    <t>VIGIA NOTURNO COM ENCARGOS COMPLEMENTARES</t>
  </si>
  <si>
    <t>MEMÓRIA DE CÁLCULO</t>
  </si>
  <si>
    <t>Ref.</t>
  </si>
  <si>
    <t>Engenheiro Civil</t>
  </si>
  <si>
    <t>Encarregado Geral</t>
  </si>
  <si>
    <t>Vigia noturno</t>
  </si>
  <si>
    <t>98525</t>
  </si>
  <si>
    <t>TOTAL=</t>
  </si>
  <si>
    <t>BOTA FORA</t>
  </si>
  <si>
    <t>area</t>
  </si>
  <si>
    <t>USINA DE ASFALTO</t>
  </si>
  <si>
    <t>M</t>
  </si>
  <si>
    <t>M3xKM</t>
  </si>
  <si>
    <t>SEDOP</t>
  </si>
  <si>
    <t>99064</t>
  </si>
  <si>
    <t>LOCAÇÃO DE PAVIMENTAÇÃO. AF_10/2018</t>
  </si>
  <si>
    <t>96402</t>
  </si>
  <si>
    <t>EXECUÇÃO DE PINTURA DE LIGAÇÃO COM EMULSÃO ASFÁLTICA RR-2C. AF_11/2019</t>
  </si>
  <si>
    <t>COMPOSIÇÃO DE PREÇO UNITÁRIO -  DESONERADA</t>
  </si>
  <si>
    <t>CONSTRUÇÃO DE PAVIMENTO COM APLICAÇÃO DE CONCRETO BETUMINOSO USINADO A QUENTE (CBUQ), CAMADA DE ROLAMENTO, COM ESPESSURA DE 3,5 CM - EXCLUSIVE TRANSPORTE. AF_03/2017</t>
  </si>
  <si>
    <t>LOCAÇÃO DE CONTAINER PARA ESCRITÓRIO/VESTIÁRIOS E ALMOXARIFADO</t>
  </si>
  <si>
    <t>MÊS</t>
  </si>
  <si>
    <t>COEF.</t>
  </si>
  <si>
    <t>CUSTO UNIT.</t>
  </si>
  <si>
    <t>CUSTO TOTAL</t>
  </si>
  <si>
    <t>LOCACAO DE CONTAINER 2,30 X 6,00 M, ALT. 2,50 M, COM 1 SANITARIO, PARA ESCRITORIO,COMPLETO, SEM DIVISORIAS INTERNAS</t>
  </si>
  <si>
    <t>LOCACAO DE CONTAINER 2,30 X 6,00 M, ALT. 2,50 M, PARA ESCRITORIO, SEM DIVISORIAS INTERNAS E SEM SANITARIO</t>
  </si>
  <si>
    <t>LOCACAO DE CONTAINER 2,30 X 4,30 M, ALT. 2,50 M, PARA SANITARIO, COM 3 BACIAS, 4 CHUVEIROS, 1 LAVATORIO E 1 MICTORIO</t>
  </si>
  <si>
    <t>BDI CALCULADO DE ACORDO COM AS RECOMENDAÇÕES DO TRIBUNAL DE CONTAS DA UNIÃO
FONTE:
- Acórdão Nº 2622/2013-P.</t>
  </si>
  <si>
    <t>30 dias</t>
  </si>
  <si>
    <t>TOTAL DO ITEM 01</t>
  </si>
  <si>
    <t>TOTAL DO ITEM 02</t>
  </si>
  <si>
    <t>TOTAL DO ITEM 03</t>
  </si>
  <si>
    <t>TOTAL DO ITEM 04</t>
  </si>
  <si>
    <t>TOTAL DO ITEM 05</t>
  </si>
  <si>
    <t>TOTAL DO ITEM 06</t>
  </si>
  <si>
    <t>MOBILIZAÇÃO E DESMOBILIZAÇÃO</t>
  </si>
  <si>
    <t xml:space="preserve">PLANILHA ORÇAMENTÁRIA DESONERADA - BDI </t>
  </si>
  <si>
    <t>011340</t>
  </si>
  <si>
    <t>PLACA DE OBRA EM LONA COM PLOTAGEM DE
GRÁFICA</t>
  </si>
  <si>
    <t>MOBILIZAÇÃO    -     DESONERADA</t>
  </si>
  <si>
    <t>CRONOGRAMA FÍSICO - FINANCEIRO - DESONERADO</t>
  </si>
  <si>
    <t>Referencia:</t>
  </si>
  <si>
    <t>CHP</t>
  </si>
  <si>
    <t>CHI</t>
  </si>
  <si>
    <t>ROLO COMPACTADOR DE PNEUS, ESTATICO, PRESSAO VARIAVEL, POTENCIA 110 HP, PESO SEM/COM LASTRO 10,8/27 T, LARGURA DE ROLAGEM 2,30 M - CHP DIURNO. AF_06/2017</t>
  </si>
  <si>
    <t>95427</t>
  </si>
  <si>
    <t xml:space="preserve"> TRANSPORTE COM CAMINHÃO BASCULANTE DE 18 M³, EM VIA URBANA PAVIMENTADA, ADICIONAL PARA DMT EXCEDENTE A 30 KM (UNIDADE: M3XKM). AF_07/2020</t>
  </si>
  <si>
    <t>004</t>
  </si>
  <si>
    <r>
      <rPr>
        <b/>
        <sz val="10"/>
        <rFont val="Arial"/>
        <family val="2"/>
      </rPr>
      <t>OBS:</t>
    </r>
    <r>
      <rPr>
        <sz val="10"/>
        <rFont val="Arial"/>
        <family val="2"/>
      </rPr>
      <t xml:space="preserve"> CONSIDERAR 0,50 CM DE CADA LADO A MAIS DO QUE APISTA DE ROLAMENTO</t>
    </r>
  </si>
  <si>
    <t>ADMINISTRAÇÃO LOCAL DA OBRA PARA  REGIONAL</t>
  </si>
  <si>
    <t>MOBILIZAÇÃO E DESMOBILIZAÇÃO  DA OBRA</t>
  </si>
  <si>
    <t>acrescimo</t>
  </si>
  <si>
    <t>+</t>
  </si>
  <si>
    <t>CONSIDERAR 0,5 CM DE CADA LADO, POIS SERÁ PAVIMENTADO EM CIMA DA SARJETA JÁ EXISTENTE</t>
  </si>
  <si>
    <t>RECAPEAMENTO DE VIAS</t>
  </si>
  <si>
    <t>Declividade (%)</t>
  </si>
  <si>
    <t>profundidade (m)</t>
  </si>
  <si>
    <t>Comprimento (m)</t>
  </si>
  <si>
    <t>Profundidade (m)</t>
  </si>
  <si>
    <t>Total (m³)</t>
  </si>
  <si>
    <t>Rede principal</t>
  </si>
  <si>
    <t>Total (m²)</t>
  </si>
  <si>
    <t>Rede coletora</t>
  </si>
  <si>
    <r>
      <rPr>
        <sz val="10"/>
        <rFont val="Calibri"/>
        <family val="2"/>
      </rPr>
      <t>Ø</t>
    </r>
    <r>
      <rPr>
        <sz val="9.1"/>
        <rFont val="Arial"/>
        <family val="2"/>
      </rPr>
      <t xml:space="preserve"> Tubo (mm)</t>
    </r>
  </si>
  <si>
    <t>D.M.T</t>
  </si>
  <si>
    <t>Total (TxKM)</t>
  </si>
  <si>
    <t>TxKM</t>
  </si>
  <si>
    <t>Peso especifico (t)</t>
  </si>
  <si>
    <t>Area do tubo</t>
  </si>
  <si>
    <r>
      <rPr>
        <b/>
        <sz val="10"/>
        <rFont val="Arial"/>
        <family val="2"/>
      </rPr>
      <t>OBS:</t>
    </r>
    <r>
      <rPr>
        <sz val="10"/>
        <rFont val="Arial"/>
        <family val="2"/>
      </rPr>
      <t xml:space="preserve"> CONSIDERAR 1 PV A CADA 50 METROS, MAIS 1 DO INICIO</t>
    </r>
  </si>
  <si>
    <r>
      <rPr>
        <b/>
        <sz val="10"/>
        <rFont val="Arial"/>
        <family val="2"/>
      </rPr>
      <t>OBS:</t>
    </r>
    <r>
      <rPr>
        <sz val="10"/>
        <rFont val="Arial"/>
        <family val="2"/>
      </rPr>
      <t xml:space="preserve"> CONSIDERAR 1 BL PARA CADA LADO, A CADA 50 METROS, MAIS 1 DO INICIO</t>
    </r>
  </si>
  <si>
    <t>8.1</t>
  </si>
  <si>
    <t>CONSIDERAR 5 CM DE CADA LADO, POIS SERÁ FEITO A PINTURA DE LIGAÇÃO EM CIMA DA SARJETA JÁ EXISTENTE</t>
  </si>
  <si>
    <t>CONSIDERAR 5 CM DE CADA LADO, POIS SERÁ PAVIMENTADO EM CIMA DA SARJETA JÁ EXISTENTE</t>
  </si>
  <si>
    <t>7.3</t>
  </si>
  <si>
    <t>7.4</t>
  </si>
  <si>
    <t>7.5</t>
  </si>
  <si>
    <t>7.6</t>
  </si>
  <si>
    <t>PROJETO EXECUTIVO</t>
  </si>
  <si>
    <t>und</t>
  </si>
  <si>
    <t>10.1</t>
  </si>
  <si>
    <t>10.2</t>
  </si>
  <si>
    <t>10.3</t>
  </si>
  <si>
    <t>05</t>
  </si>
  <si>
    <t>06</t>
  </si>
  <si>
    <t>07</t>
  </si>
  <si>
    <t>ELABORAÇÃO DE PROJETO DE PAVIMENTAÇÃO</t>
  </si>
  <si>
    <t>ELABORAÇÃO DE PROJETO DE DRENAGEM</t>
  </si>
  <si>
    <t>ELABORAÇÃO DE PROJETO DE SINALIZAÇÃO</t>
  </si>
  <si>
    <t>recapeamento</t>
  </si>
  <si>
    <t>102501</t>
  </si>
  <si>
    <t>COMPOSIÇÃO 008</t>
  </si>
  <si>
    <t>008</t>
  </si>
  <si>
    <t>EXECUÇÃO DE IMPRIMAÇÃO DE BASE DE PAVIMENTAÇÃO</t>
  </si>
  <si>
    <t>VASSOURA MECÂNICA REBOCÁVEL COM ESCOVA CILÍNDRICA, LARGURA ÚTIL DE VARRIMENTO DE 2,44 M - CHP DIURNO. AF_06/2014</t>
  </si>
  <si>
    <t xml:space="preserve"> 0,002</t>
  </si>
  <si>
    <t xml:space="preserve"> 5841 </t>
  </si>
  <si>
    <t>VASSOURA MECÂNICA REBOCÁVEL COM ESCOVA CILÍNDRICA, LARGURA ÚTIL DE VARRIMENTO DE 2,44 M - CHI DIURNO. AF_06/2014</t>
  </si>
  <si>
    <t xml:space="preserve"> 0,004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</si>
  <si>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</si>
  <si>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0,001</t>
  </si>
  <si>
    <t xml:space="preserve"> 88316 </t>
  </si>
  <si>
    <t>SERVENTE COM ENCARGOS COMPLEMENTARES</t>
  </si>
  <si>
    <t xml:space="preserve"> 0,0058</t>
  </si>
  <si>
    <t xml:space="preserve"> 89035 </t>
  </si>
  <si>
    <t>TRATOR DE PNEUS, POTÊNCIA 85 CV, TRAÇÃO 4X4, PESO COM LASTRO DE 4.675 KG - CHP DIURNO. AF_06/2014</t>
  </si>
  <si>
    <t xml:space="preserve"> 0,0017</t>
  </si>
  <si>
    <t xml:space="preserve"> 89036 </t>
  </si>
  <si>
    <t>TRATOR DE PNEUS, POTÊNCIA 85 CV, TRAÇÃO 4X4, PESO COM LASTRO DE 4.675 KG - CHI DIURNO. AF_06/2014</t>
  </si>
  <si>
    <t xml:space="preserve"> 0,0041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</si>
  <si>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</si>
  <si>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0,0049</t>
  </si>
  <si>
    <t>EXECUÇÃO DE IMPRIMAÇÃO DE BASE PARA PAVIMENTAÇÃO</t>
  </si>
  <si>
    <t>Nome da via</t>
  </si>
  <si>
    <t>Rede</t>
  </si>
  <si>
    <r>
      <t xml:space="preserve">CONSTRUÇÃO DE PAVIMENTO COM APLICAÇÃO DE CONCRETO BETUMINOSO USINADO A QUENTE (CBUQ), CAMADA DE </t>
    </r>
    <r>
      <rPr>
        <b/>
        <sz val="10"/>
        <rFont val="Arial"/>
        <family val="2"/>
      </rPr>
      <t>REGULARIZAÇÃO OU TAPA BURACO</t>
    </r>
    <r>
      <rPr>
        <sz val="10"/>
        <rFont val="Arial"/>
        <family val="2"/>
      </rPr>
      <t xml:space="preserve"> - EXCLUSIVE TRANSPORTE. AF_03/2017</t>
    </r>
  </si>
  <si>
    <t>ROLO COMPACTADOR VIBRATÓRIO DE UM CILINDRO AÇO LISO, POTÊNCIA 80 HP, PESO OPERACIONAL MÁXIMO 8,1 T, IMPACTO DINÂMICO 16,15 / 9,5 T, LARGURA DE TRABALHO 1,68 M - CHP DIURNO. AF_06/2014</t>
  </si>
  <si>
    <t>5684</t>
  </si>
  <si>
    <t>5685</t>
  </si>
  <si>
    <t>ROLO COMPACTADOR VIBRATÓRIO DE UM CILINDRO AÇO LISO, POTÊNCIA 80 HP, PESO OPERACIONAL MÁXIMO 8,1 T, IMPACTO DINÂMICO 16,15 / 9,5 T, LARGURA DE TRABALHO 1,68 M - CHI DIURNO. AF_06/2014</t>
  </si>
  <si>
    <t>5901</t>
  </si>
  <si>
    <t>5903</t>
  </si>
  <si>
    <t>CAMINHÃO PIPA 10.000 L TRUCADO, PESO BRUTO TOTAL 23.000 KG, CARGA ÚTIL MÁXIMA 15.935 KG, DISTÂNCIA ENTRE EIXOS 4,8 M, POTÊNCIA 230 CV, INCLUSIVE TANQUE DE AÇO PARA TRANSPORTE DE ÁGUA - CHI DIURNO. AF_06/2014</t>
  </si>
  <si>
    <t>5932</t>
  </si>
  <si>
    <t>MOTONIVELADORA POTÊNCIA BÁSICA LÍQUIDA (PRIMEIRA MARCHA) 125 HP, PESO BRUTO 13032 KG, LARGURA DA LÂMINA DE 3,7 M - CHP DIURNO. AF_06/2014</t>
  </si>
  <si>
    <t>5934</t>
  </si>
  <si>
    <t>MOTONIVELADORA POTÊNCIA BÁSICA LÍQUIDA (PRIMEIRA MARCHA) 125 HP, PESO BRUTO 13032 KG, LARGURA DA LÂMINA DE 3,7 M - CHI DIURNO. AF_06/2014</t>
  </si>
  <si>
    <t>88316</t>
  </si>
  <si>
    <t>96463</t>
  </si>
  <si>
    <t>ROLO COMPACTADOR DE PNEUS, ESTATICO, PRESSAO VARIAVEL, POTENCIA 110 HP, PESO SEM/COM LASTRO 10,8/27 T, LARGURA DE ROLAGEM 2,30 M - CHI DIURNO. AF_06/2017</t>
  </si>
  <si>
    <t>COMPOSIÇÃO 009</t>
  </si>
  <si>
    <t>009</t>
  </si>
  <si>
    <t>0,0030000</t>
  </si>
  <si>
    <t>0,0230000</t>
  </si>
  <si>
    <t>0,0040000</t>
  </si>
  <si>
    <t>0,0220000</t>
  </si>
  <si>
    <t>0,0080000</t>
  </si>
  <si>
    <t>0,0190000</t>
  </si>
  <si>
    <t>0,0260000</t>
  </si>
  <si>
    <t>EXECUÇÃO E COMPACTAÇÃO DE BASE E OU SUB BASE PARA PAVIMENTAÇÃO DE SOLOS DE COMPORTAMENTO LATERÍTICO (ARENOSO) - EXCLUSIVE  ESCAVAÇÃO, CARGA E TRANSPORTE.</t>
  </si>
  <si>
    <t xml:space="preserve">PAVIMENTAÇÃO ASFALTICA EM C.B.U.Q NA REGIÃO DO LAGO TUCURUI </t>
  </si>
  <si>
    <t>COTAÇÃO DE PREÇOS - 001</t>
  </si>
  <si>
    <t>CAP - VISCOSIDADE ABSOLUTA À 60ºC</t>
  </si>
  <si>
    <t>ESPECIFICAÇÕES 
(DIMENÇÕES/PESO)</t>
  </si>
  <si>
    <t>PREÇO POR KG</t>
  </si>
  <si>
    <t>CAP - 7</t>
  </si>
  <si>
    <t>CAP - 20</t>
  </si>
  <si>
    <t>CAP - 40</t>
  </si>
  <si>
    <t xml:space="preserve">CAP - Segundo ensaio de Penetração, 
realizado a 25ºC </t>
  </si>
  <si>
    <t>CAP - 30/45</t>
  </si>
  <si>
    <t>CAP - 50/70</t>
  </si>
  <si>
    <t>30 TON</t>
  </si>
  <si>
    <t>CAP - 85/100</t>
  </si>
  <si>
    <t>CAP - 55/75</t>
  </si>
  <si>
    <t>CAP - 150/200</t>
  </si>
  <si>
    <t>Asfalto Diluído</t>
  </si>
  <si>
    <t>CM ECOPRIME</t>
  </si>
  <si>
    <t>CR-70</t>
  </si>
  <si>
    <t>EAI CM ECOIMPRIMA</t>
  </si>
  <si>
    <t>CR-3000</t>
  </si>
  <si>
    <t>CM-30</t>
  </si>
  <si>
    <t>CM-70</t>
  </si>
  <si>
    <t>CM-250</t>
  </si>
  <si>
    <t>CM-800</t>
  </si>
  <si>
    <t>Emulsão Asfáltica</t>
  </si>
  <si>
    <t>RR-1C</t>
  </si>
  <si>
    <t>RR-2C</t>
  </si>
  <si>
    <t>RL-1C</t>
  </si>
  <si>
    <t>COTAÇÃO</t>
  </si>
  <si>
    <t>KG</t>
  </si>
  <si>
    <t>SEDOP SET/2021</t>
  </si>
  <si>
    <t>PINTURA DE FAIXA DE PEDESTRE OU ZEBRADA COM TINTA ACRÍLICA , APLICAÇÃO MANUAL E SINALIZAÇÃO HORIZONTAL</t>
  </si>
  <si>
    <t>93584</t>
  </si>
  <si>
    <t>EXECUÇÃO DE DEPOSITO EM CANTEIRO DE OBRA EM CHAPA DE MADEIRA COMPENSADA, NÃO INCLUSO MIBILIARIO</t>
  </si>
  <si>
    <t>LARGURA</t>
  </si>
  <si>
    <t>COMPRIMENTO</t>
  </si>
  <si>
    <t>TUBO Ø</t>
  </si>
  <si>
    <t>POÇO DE VISITA (UND)</t>
  </si>
  <si>
    <t>PV</t>
  </si>
  <si>
    <t>600 MM</t>
  </si>
  <si>
    <t>800 MM</t>
  </si>
  <si>
    <t>reaproveitamento de 30%</t>
  </si>
  <si>
    <t xml:space="preserve">ARGILA, ARGILA VERMELHA OU ARGILA ARENOSA (RETIRADA NA JAZIDA, SEM TRANSPORTE) </t>
  </si>
  <si>
    <t>95995</t>
  </si>
  <si>
    <t>EXECUÇÃO DOS SERVIÇOS DE DRENAGEM SUPERFICIAL E PAVIMENTAÇÃO ASFÁLTICA DE VIAS EM GARRAFÃO DO NORTE</t>
  </si>
  <si>
    <t>TRAVESSA ARTHUR BERNADEZ</t>
  </si>
  <si>
    <t>TRAVESSA LUIZ EDUARDO MAGALHÃES</t>
  </si>
  <si>
    <t>GARRAFÃO</t>
  </si>
  <si>
    <t>MOVIMENTAÇÃO DE TERRA</t>
  </si>
  <si>
    <t>REGULARIZAÇÃO DE BASE</t>
  </si>
  <si>
    <t>DRENAGEM SUPERFICIAL</t>
  </si>
  <si>
    <t>URBANISMO DO PASSEIO</t>
  </si>
  <si>
    <t>CALÇADA</t>
  </si>
  <si>
    <t>TENTO</t>
  </si>
  <si>
    <t>SINAPI DEZ/2021</t>
  </si>
  <si>
    <t>SICRO JUL/2021</t>
  </si>
  <si>
    <t>LIMPEZA MECANIZADA DE CAMADA VEGETAL, VEGETAÇÃO E PEQUENAS ÁRVORES (DIÂMETRO DE TRONCO MENOR QUE 0,20 M), COM TRATOR DE ESTEIRAS.AF_05/2018</t>
  </si>
  <si>
    <t>M²</t>
  </si>
  <si>
    <t>REGULARIZAÇÃO E COMPACTAÇÃO DE SUBLEITO DE SOLO PREDOMINANTEMENTE ARENOSO. AF_11/2019</t>
  </si>
  <si>
    <t>100577</t>
  </si>
  <si>
    <t>101124</t>
  </si>
  <si>
    <t>ESCAVAÇÃO HORIZONTAL, INCLUINDO CARGA E DESCARGA EM SOLO DE 1A CATEGORIA COM TRATOR DE ESTEIRAS (100HP/LÂMINA: 2,19M3). AF_07/2020</t>
  </si>
  <si>
    <t>M³</t>
  </si>
  <si>
    <t>97912</t>
  </si>
  <si>
    <t>TRANSPORTE COM CAMINHÃO BASCULANTE DE 6 M³, EM VIA URBANA EM LEITO NATURAL (UNIDADE: M3XKM). AF_07/2020</t>
  </si>
  <si>
    <t>M³XKM</t>
  </si>
  <si>
    <t>96388</t>
  </si>
  <si>
    <t>EXECUÇÃO E COMPACTAÇÃO DE BASE E OU SUB BASE PARA PAVIMENTAÇÃO DE SOLOS DE COMPORTAMENTO LATERÍTICO (ARENOSO) - EXCLUSIVE SOLO, ESCAVAÇÃO, CARGA E TRANSPORTE. AF_11/2019</t>
  </si>
  <si>
    <t>4.1</t>
  </si>
  <si>
    <t>4.1.1</t>
  </si>
  <si>
    <t>4.1.2</t>
  </si>
  <si>
    <t>4.1.3</t>
  </si>
  <si>
    <t>4.1.4</t>
  </si>
  <si>
    <t>4.1.5</t>
  </si>
  <si>
    <t>94273</t>
  </si>
  <si>
    <t>94284</t>
  </si>
  <si>
    <t>94293</t>
  </si>
  <si>
    <t>ASSENTAMENTO DE GUIA (MEIO-FIO) EM TRECHO RETO, CONFECCIONADA EM CONCRETO PRÉ-FABRICADO, DIMENSÕES 100X15X13X30 CM (COMPRIMENTO X BASE INFERIOR X BASE SUPERIOR X ALTURA), PARA VIAS URBANAS (USO VIÁRIO). AF_06/2016</t>
  </si>
  <si>
    <t>EXECUÇÃO DE SARJETA DE CONCRETO USINADO, MOLDADA IN LOCO EM TRECHO CURVO, 45 CM BASE X 15 CM ALTURA. AF_06/2016</t>
  </si>
  <si>
    <t>EXECUÇÃO DE SARJETÃO DE CONCRETO USINADO, MOLDADA IN LOCO EM TRECHO RETO, 100 CM BASE X 20 CM ALTURA. AF_06/2016</t>
  </si>
  <si>
    <t>6.1.1</t>
  </si>
  <si>
    <t>6.1.2</t>
  </si>
  <si>
    <t>6.2.1</t>
  </si>
  <si>
    <t>6.2.2</t>
  </si>
  <si>
    <t>94342</t>
  </si>
  <si>
    <t>94992</t>
  </si>
  <si>
    <t>6.2.3</t>
  </si>
  <si>
    <t>93358</t>
  </si>
  <si>
    <t>96533</t>
  </si>
  <si>
    <t>94963</t>
  </si>
  <si>
    <t>ATERRO MANUAL DE VALAS COM AREIA PARA ATERRO E COMPACTAÇÃO MECANIZADA. AF_05/2016</t>
  </si>
  <si>
    <t>EXECUÇÃO DE PASSEIO (CALÇADA) OU PISO DE CONCRETO COM CONCRETO MOLDADO IN LOCO, FEITO EM OBRA, ACABAMENTO CONVENCIONAL, ESPESSURA 6 CM, ARMADO. AF_07/2016</t>
  </si>
  <si>
    <t>ESCAVAÇÃO MANUAL DE VALA COM PROFUNDIDADE MENOR OU IGUAL A 1,30 M. AF_02/2021</t>
  </si>
  <si>
    <t>FABRICAÇÃO, MONTAGEM E DESMONTAGEM DE FÔRMA PARA VIGA BALDRAME, EM MADEIRA SERRADA, E=25 MM, 2 UTILIZAÇÕES. AF_06/2017</t>
  </si>
  <si>
    <t>CONCRETO FCK = 15MPA, TRAÇO 1:3,4:3,5 (EM MASSA SECA DE CIMENTO/ AREIA MÉDIA/ BRITA 1) - PREPARO MECÂNICO COM BETONEIRA 400 L. AF_05/2021</t>
  </si>
  <si>
    <t>SINALIZAÇÃO VIÁRIA</t>
  </si>
  <si>
    <t>102512</t>
  </si>
  <si>
    <t>PINTURA DE EIXO VIÁRIO SOBRE ASFALTO COM TINTA RETRORREFLETIVA A BASE DE RESINA ACRÍLICA COM MICROESFERAS DE VIDRO, APLICAÇÃO MECÂNICA COM DEMARCADORA AUTOPROPELIDA. AF_05/2021</t>
  </si>
  <si>
    <t>041496</t>
  </si>
  <si>
    <t>5.1</t>
  </si>
  <si>
    <t>5.2</t>
  </si>
  <si>
    <t>5.3</t>
  </si>
  <si>
    <t>área</t>
  </si>
  <si>
    <t>Comp. Trav.</t>
  </si>
  <si>
    <t xml:space="preserve">Comprimento X 2 </t>
  </si>
  <si>
    <t>Nº TRAV. X COMP. TRAV.</t>
  </si>
  <si>
    <t>Quant. Trav.</t>
  </si>
  <si>
    <t>= 2 x com. Via -(comp. De travessia x nº de travessia)</t>
  </si>
  <si>
    <t>nº trav.</t>
  </si>
  <si>
    <t>comp. Trav.</t>
  </si>
  <si>
    <t>Comp. Meio Fio</t>
  </si>
  <si>
    <t>Largura da Calçada</t>
  </si>
  <si>
    <t>Espessurra</t>
  </si>
  <si>
    <t>Altura</t>
  </si>
  <si>
    <t>nº 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</si>
</sst>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#,##0.00_);[Red]\(&quot;R$&quot;#,##0.00\)"/>
    <numFmt numFmtId="166" formatCode="_(&quot;R$&quot;* #,##0.00_);_(&quot;R$&quot;* \(#,##0.00\);_(&quot;R$&quot;* &quot;-&quot;??_);_(@_)"/>
    <numFmt numFmtId="167" formatCode="_(* #,##0.00_);_(* \(#,##0.00\);_(* &quot;-&quot;??_);_(@_)"/>
    <numFmt numFmtId="168" formatCode="_([$€]* #,##0.00_);_([$€]* \(#,##0.00\);_([$€]* &quot;-&quot;??_);_(@_)"/>
    <numFmt numFmtId="169" formatCode="###0;###0"/>
    <numFmt numFmtId="170" formatCode="###0.0;###0.0"/>
    <numFmt numFmtId="171" formatCode="#,##0.00;#,##0.00"/>
    <numFmt numFmtId="172" formatCode="&quot;R$&quot;\ #,##0.00"/>
    <numFmt numFmtId="173" formatCode="_(&quot;R$ &quot;* #,##0.00_);_(&quot;R$ &quot;* \(#,##0.00\);_(&quot;R$ &quot;* &quot;-&quot;??_);_(@_)"/>
    <numFmt numFmtId="174" formatCode="_([$€-2]* #,##0.00_);_([$€-2]* \(#,##0.00\);_([$€-2]* &quot;-&quot;??_)"/>
    <numFmt numFmtId="175" formatCode="#,"/>
    <numFmt numFmtId="176" formatCode="#,#00"/>
    <numFmt numFmtId="177" formatCode="%#,#00"/>
    <numFmt numFmtId="178" formatCode="#.##000"/>
    <numFmt numFmtId="179" formatCode="_-[$R$-416]\ * #,##0.00_-;\-[$R$-416]\ * #,##0.00_-;_-[$R$-416]\ * &quot;-&quot;??_-;_-@_-"/>
    <numFmt numFmtId="180" formatCode="00000"/>
    <numFmt numFmtId="181" formatCode="_(* #,##0.00_);_(* \(#,##0.00\);_(* \-??_);_(@_)"/>
    <numFmt numFmtId="182" formatCode="d&quot;.&quot;"/>
    <numFmt numFmtId="183" formatCode="#,##0.0000"/>
    <numFmt numFmtId="184" formatCode="0.000"/>
    <numFmt numFmtId="185" formatCode="_-&quot;R$&quot;\ * #,##0.0000_-;\-&quot;R$&quot;\ * #,##0.0000_-;_-&quot;R$&quot;\ * &quot;-&quot;????_-;_-@_-"/>
    <numFmt numFmtId="186" formatCode="#,##0.000"/>
    <numFmt numFmtId="187" formatCode="0.0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sz val="11"/>
      <name val="Century Gothic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vertAlign val="superscript"/>
      <sz val="9"/>
      <name val="Courier New"/>
      <family val="3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02124"/>
      <name val="Arial"/>
      <family val="2"/>
    </font>
    <font>
      <sz val="10"/>
      <name val="Calibri"/>
      <family val="2"/>
    </font>
    <font>
      <sz val="9.1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sz val="12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FDFDF"/>
      </patternFill>
    </fill>
    <fill>
      <patternFill patternType="solid">
        <fgColor theme="0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FFFFCC"/>
      </patternFill>
    </fill>
    <fill>
      <patternFill patternType="solid">
        <fgColor rgb="FFFFFF5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CC"/>
      </patternFill>
    </fill>
    <fill>
      <patternFill patternType="solid">
        <fgColor theme="5" tint="0.59999389629810485"/>
        <bgColor rgb="FFDFDFDF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0" tint="-0.34998626667073579"/>
        <bgColor rgb="FFDFDFDF"/>
      </patternFill>
    </fill>
    <fill>
      <patternFill patternType="solid">
        <fgColor rgb="FFBFBFBF"/>
        <bgColor rgb="FF000000"/>
      </patternFill>
    </fill>
    <fill>
      <patternFill patternType="solid">
        <fgColor theme="7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7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" fillId="0" borderId="0"/>
    <xf numFmtId="0" fontId="4" fillId="0" borderId="0"/>
    <xf numFmtId="168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3" fillId="0" borderId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" fontId="34" fillId="0" borderId="6" applyNumberFormat="0" applyBorder="0" applyAlignment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43" fillId="53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0" fillId="42" borderId="0" applyNumberFormat="0" applyBorder="0" applyAlignment="0" applyProtection="0"/>
    <xf numFmtId="0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60" borderId="0" applyNumberFormat="0" applyBorder="0" applyAlignment="0" applyProtection="0"/>
    <xf numFmtId="0" fontId="44" fillId="44" borderId="0" applyNumberFormat="0" applyBorder="0" applyAlignment="0" applyProtection="0"/>
    <xf numFmtId="0" fontId="20" fillId="12" borderId="0" applyNumberFormat="0" applyBorder="0" applyAlignment="0" applyProtection="0"/>
    <xf numFmtId="0" fontId="45" fillId="61" borderId="51" applyNumberFormat="0" applyAlignment="0" applyProtection="0"/>
    <xf numFmtId="0" fontId="25" fillId="16" borderId="45" applyNumberFormat="0" applyAlignment="0" applyProtection="0"/>
    <xf numFmtId="0" fontId="27" fillId="17" borderId="48" applyNumberFormat="0" applyAlignment="0" applyProtection="0"/>
    <xf numFmtId="0" fontId="26" fillId="0" borderId="47" applyNumberFormat="0" applyFill="0" applyAlignment="0" applyProtection="0"/>
    <xf numFmtId="0" fontId="46" fillId="62" borderId="52" applyNumberFormat="0" applyAlignment="0" applyProtection="0"/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0" fontId="36" fillId="0" borderId="0">
      <protection locked="0"/>
    </xf>
    <xf numFmtId="175" fontId="35" fillId="0" borderId="0">
      <protection locked="0"/>
    </xf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23" fillId="15" borderId="45" applyNumberFormat="0" applyAlignment="0" applyProtection="0"/>
    <xf numFmtId="174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5" fontId="35" fillId="0" borderId="0">
      <protection locked="0"/>
    </xf>
    <xf numFmtId="176" fontId="36" fillId="0" borderId="0">
      <protection locked="0"/>
    </xf>
    <xf numFmtId="0" fontId="48" fillId="45" borderId="0" applyNumberFormat="0" applyBorder="0" applyAlignment="0" applyProtection="0"/>
    <xf numFmtId="175" fontId="37" fillId="0" borderId="0">
      <protection locked="0"/>
    </xf>
    <xf numFmtId="175" fontId="37" fillId="0" borderId="0">
      <protection locked="0"/>
    </xf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50" fillId="0" borderId="0"/>
    <xf numFmtId="0" fontId="51" fillId="48" borderId="51" applyNumberFormat="0" applyAlignment="0" applyProtection="0"/>
    <xf numFmtId="0" fontId="52" fillId="0" borderId="53" applyNumberFormat="0" applyFill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2" fillId="14" borderId="0" applyNumberFormat="0" applyBorder="0" applyAlignment="0" applyProtection="0"/>
    <xf numFmtId="0" fontId="53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49" applyNumberFormat="0" applyFont="0" applyAlignment="0" applyProtection="0"/>
    <xf numFmtId="0" fontId="4" fillId="64" borderId="55" applyNumberFormat="0" applyFont="0" applyAlignment="0" applyProtection="0"/>
    <xf numFmtId="0" fontId="54" fillId="61" borderId="56" applyNumberFormat="0" applyAlignment="0" applyProtection="0"/>
    <xf numFmtId="175" fontId="35" fillId="0" borderId="0">
      <protection locked="0"/>
    </xf>
    <xf numFmtId="177" fontId="36" fillId="0" borderId="0">
      <protection locked="0"/>
    </xf>
    <xf numFmtId="178" fontId="36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16" borderId="46" applyNumberFormat="0" applyAlignment="0" applyProtection="0"/>
    <xf numFmtId="175" fontId="38" fillId="0" borderId="0">
      <protection locked="0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9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0" borderId="57" applyNumberFormat="0" applyFill="0" applyAlignment="0" applyProtection="0"/>
    <xf numFmtId="0" fontId="17" fillId="0" borderId="42" applyNumberFormat="0" applyFill="0" applyAlignment="0" applyProtection="0"/>
    <xf numFmtId="0" fontId="18" fillId="0" borderId="43" applyNumberFormat="0" applyFill="0" applyAlignment="0" applyProtection="0"/>
    <xf numFmtId="0" fontId="19" fillId="0" borderId="44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0" fontId="13" fillId="0" borderId="50" applyNumberFormat="0" applyFill="0" applyAlignment="0" applyProtection="0"/>
    <xf numFmtId="16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64" borderId="0" applyNumberFormat="0" applyBorder="0" applyAlignment="0" applyProtection="0"/>
    <xf numFmtId="0" fontId="42" fillId="48" borderId="0" applyNumberFormat="0" applyBorder="0" applyAlignment="0" applyProtection="0"/>
    <xf numFmtId="0" fontId="42" fillId="47" borderId="0" applyNumberFormat="0" applyBorder="0" applyAlignment="0" applyProtection="0"/>
    <xf numFmtId="0" fontId="42" fillId="64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63" borderId="0" applyNumberFormat="0" applyBorder="0" applyAlignment="0" applyProtection="0"/>
    <xf numFmtId="0" fontId="42" fillId="44" borderId="0" applyNumberFormat="0" applyBorder="0" applyAlignment="0" applyProtection="0"/>
    <xf numFmtId="0" fontId="42" fillId="47" borderId="0" applyNumberFormat="0" applyBorder="0" applyAlignment="0" applyProtection="0"/>
    <xf numFmtId="0" fontId="42" fillId="64" borderId="0" applyNumberFormat="0" applyBorder="0" applyAlignment="0" applyProtection="0"/>
    <xf numFmtId="0" fontId="43" fillId="47" borderId="0" applyNumberFormat="0" applyBorder="0" applyAlignment="0" applyProtection="0"/>
    <xf numFmtId="0" fontId="43" fillId="60" borderId="0" applyNumberFormat="0" applyBorder="0" applyAlignment="0" applyProtection="0"/>
    <xf numFmtId="0" fontId="43" fillId="52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8" fillId="47" borderId="0" applyNumberFormat="0" applyBorder="0" applyAlignment="0" applyProtection="0"/>
    <xf numFmtId="0" fontId="62" fillId="65" borderId="51" applyNumberFormat="0" applyAlignment="0" applyProtection="0"/>
    <xf numFmtId="0" fontId="46" fillId="62" borderId="52" applyNumberFormat="0" applyAlignment="0" applyProtection="0"/>
    <xf numFmtId="0" fontId="56" fillId="0" borderId="58" applyNumberFormat="0" applyFill="0" applyAlignment="0" applyProtection="0"/>
    <xf numFmtId="0" fontId="43" fillId="66" borderId="0" applyNumberFormat="0" applyBorder="0" applyAlignment="0" applyProtection="0"/>
    <xf numFmtId="0" fontId="43" fillId="60" borderId="0" applyNumberFormat="0" applyBorder="0" applyAlignment="0" applyProtection="0"/>
    <xf numFmtId="0" fontId="43" fillId="52" borderId="0" applyNumberFormat="0" applyBorder="0" applyAlignment="0" applyProtection="0"/>
    <xf numFmtId="0" fontId="43" fillId="67" borderId="0" applyNumberFormat="0" applyBorder="0" applyAlignment="0" applyProtection="0"/>
    <xf numFmtId="0" fontId="43" fillId="55" borderId="0" applyNumberFormat="0" applyBorder="0" applyAlignment="0" applyProtection="0"/>
    <xf numFmtId="0" fontId="43" fillId="58" borderId="0" applyNumberFormat="0" applyBorder="0" applyAlignment="0" applyProtection="0"/>
    <xf numFmtId="0" fontId="51" fillId="63" borderId="51" applyNumberFormat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44" fillId="46" borderId="0" applyNumberFormat="0" applyBorder="0" applyAlignment="0" applyProtection="0"/>
    <xf numFmtId="0" fontId="63" fillId="63" borderId="0" applyNumberFormat="0" applyBorder="0" applyAlignment="0" applyProtection="0"/>
    <xf numFmtId="0" fontId="4" fillId="64" borderId="55" applyNumberFormat="0" applyFont="0" applyAlignment="0" applyProtection="0"/>
    <xf numFmtId="0" fontId="42" fillId="64" borderId="55" applyNumberFormat="0" applyFont="0" applyAlignment="0" applyProtection="0"/>
    <xf numFmtId="0" fontId="54" fillId="65" borderId="56" applyNumberFormat="0" applyAlignment="0" applyProtection="0"/>
    <xf numFmtId="0" fontId="5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61" applyNumberFormat="0" applyFill="0" applyAlignment="0" applyProtection="0"/>
    <xf numFmtId="0" fontId="65" fillId="0" borderId="62" applyNumberFormat="0" applyFill="0" applyAlignment="0" applyProtection="0"/>
    <xf numFmtId="0" fontId="66" fillId="0" borderId="63" applyNumberFormat="0" applyFill="0" applyAlignment="0" applyProtection="0"/>
    <xf numFmtId="0" fontId="66" fillId="0" borderId="0" applyNumberFormat="0" applyFill="0" applyBorder="0" applyAlignment="0" applyProtection="0"/>
    <xf numFmtId="0" fontId="61" fillId="0" borderId="64" applyNumberFormat="0" applyFill="0" applyAlignment="0" applyProtection="0"/>
    <xf numFmtId="0" fontId="4" fillId="0" borderId="0"/>
    <xf numFmtId="173" fontId="4" fillId="0" borderId="0" applyFont="0" applyFill="0" applyBorder="0" applyAlignment="0" applyProtection="0"/>
    <xf numFmtId="0" fontId="72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4" fontId="3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43" fontId="31" fillId="0" borderId="0" applyFont="0" applyFill="0" applyBorder="0" applyAlignment="0" applyProtection="0"/>
    <xf numFmtId="0" fontId="1" fillId="41" borderId="0" applyNumberFormat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2" fillId="0" borderId="0"/>
    <xf numFmtId="0" fontId="42" fillId="0" borderId="0"/>
    <xf numFmtId="182" fontId="74" fillId="0" borderId="0" applyBorder="0" applyProtection="0">
      <alignment horizontal="right" vertical="top"/>
    </xf>
    <xf numFmtId="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2" fillId="0" borderId="0"/>
    <xf numFmtId="0" fontId="57" fillId="0" borderId="0"/>
    <xf numFmtId="0" fontId="4" fillId="0" borderId="0"/>
    <xf numFmtId="0" fontId="4" fillId="0" borderId="0"/>
    <xf numFmtId="0" fontId="1" fillId="0" borderId="0"/>
    <xf numFmtId="0" fontId="42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18" borderId="49" applyNumberFormat="0" applyFont="0" applyAlignment="0" applyProtection="0"/>
    <xf numFmtId="9" fontId="4" fillId="0" borderId="0" applyFont="0" applyFill="0" applyBorder="0" applyAlignment="0" applyProtection="0"/>
    <xf numFmtId="9" fontId="42" fillId="0" borderId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73" fillId="0" borderId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/>
    <xf numFmtId="168" fontId="4" fillId="0" borderId="0"/>
    <xf numFmtId="179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4" fontId="3" fillId="3" borderId="1" xfId="5" applyNumberFormat="1" applyFont="1" applyFill="1" applyBorder="1" applyAlignment="1">
      <alignment horizontal="center" vertical="center"/>
    </xf>
    <xf numFmtId="4" fontId="3" fillId="0" borderId="1" xfId="5" applyNumberFormat="1" applyFont="1" applyFill="1" applyBorder="1" applyAlignment="1">
      <alignment horizontal="center" vertical="center"/>
    </xf>
    <xf numFmtId="4" fontId="2" fillId="0" borderId="1" xfId="5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0" fontId="6" fillId="5" borderId="2" xfId="5" applyNumberFormat="1" applyFont="1" applyFill="1" applyBorder="1" applyAlignment="1">
      <alignment horizontal="center" vertical="center" wrapText="1"/>
    </xf>
    <xf numFmtId="0" fontId="0" fillId="3" borderId="0" xfId="0" applyFill="1"/>
    <xf numFmtId="49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4" fontId="6" fillId="5" borderId="3" xfId="5" applyNumberFormat="1" applyFont="1" applyFill="1" applyBorder="1" applyAlignment="1">
      <alignment horizontal="center" vertical="center" wrapText="1"/>
    </xf>
    <xf numFmtId="0" fontId="3" fillId="5" borderId="4" xfId="5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5" borderId="4" xfId="5" applyNumberFormat="1" applyFont="1" applyFill="1" applyBorder="1" applyAlignment="1">
      <alignment horizontal="center" vertical="center" wrapText="1"/>
    </xf>
    <xf numFmtId="169" fontId="9" fillId="3" borderId="5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7" borderId="1" xfId="2" applyFont="1" applyFill="1" applyBorder="1" applyAlignment="1" applyProtection="1">
      <alignment vertical="center" wrapText="1"/>
      <protection locked="0"/>
    </xf>
    <xf numFmtId="164" fontId="4" fillId="7" borderId="1" xfId="2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/>
    </xf>
    <xf numFmtId="0" fontId="0" fillId="8" borderId="0" xfId="0" applyFill="1"/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17" xfId="9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1" xfId="9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10" fontId="7" fillId="10" borderId="29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0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8" borderId="0" xfId="0" applyNumberFormat="1" applyFill="1"/>
    <xf numFmtId="0" fontId="14" fillId="0" borderId="0" xfId="0" applyFont="1"/>
    <xf numFmtId="0" fontId="0" fillId="4" borderId="0" xfId="0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49" fontId="7" fillId="6" borderId="33" xfId="0" applyNumberFormat="1" applyFont="1" applyFill="1" applyBorder="1" applyAlignment="1" applyProtection="1">
      <alignment horizontal="right" vertical="center" wrapText="1"/>
      <protection locked="0"/>
    </xf>
    <xf numFmtId="2" fontId="4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7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37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36" xfId="2" applyFont="1" applyFill="1" applyBorder="1" applyAlignment="1" applyProtection="1">
      <alignment vertical="center" wrapText="1"/>
      <protection locked="0"/>
    </xf>
    <xf numFmtId="49" fontId="4" fillId="6" borderId="3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40" xfId="0" applyNumberFormat="1" applyFont="1" applyFill="1" applyBorder="1" applyAlignment="1" applyProtection="1">
      <alignment horizontal="right" vertical="center" wrapText="1"/>
      <protection locked="0"/>
    </xf>
    <xf numFmtId="164" fontId="7" fillId="7" borderId="41" xfId="2" applyFont="1" applyFill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0" fillId="0" borderId="0" xfId="0" applyFill="1"/>
    <xf numFmtId="2" fontId="2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0" fontId="7" fillId="0" borderId="0" xfId="0" applyNumberFormat="1" applyFont="1" applyFill="1" applyAlignment="1">
      <alignment wrapText="1"/>
    </xf>
    <xf numFmtId="0" fontId="4" fillId="0" borderId="0" xfId="0" applyFont="1" applyFill="1" applyBorder="1"/>
    <xf numFmtId="2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/>
    <xf numFmtId="40" fontId="7" fillId="0" borderId="0" xfId="0" applyNumberFormat="1" applyFont="1" applyFill="1" applyBorder="1" applyAlignment="1"/>
    <xf numFmtId="3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68" borderId="10" xfId="0" applyNumberFormat="1" applyFont="1" applyFill="1" applyBorder="1" applyAlignment="1">
      <alignment horizontal="center" vertical="center"/>
    </xf>
    <xf numFmtId="0" fontId="4" fillId="68" borderId="12" xfId="0" applyNumberFormat="1" applyFont="1" applyFill="1" applyBorder="1" applyAlignment="1">
      <alignment horizontal="center" vertical="center"/>
    </xf>
    <xf numFmtId="2" fontId="67" fillId="8" borderId="2" xfId="0" applyNumberFormat="1" applyFont="1" applyFill="1" applyBorder="1" applyAlignment="1">
      <alignment horizontal="center"/>
    </xf>
    <xf numFmtId="0" fontId="67" fillId="8" borderId="3" xfId="0" applyFont="1" applyFill="1" applyBorder="1"/>
    <xf numFmtId="0" fontId="14" fillId="8" borderId="3" xfId="0" applyFont="1" applyFill="1" applyBorder="1"/>
    <xf numFmtId="0" fontId="14" fillId="8" borderId="4" xfId="0" applyFont="1" applyFill="1" applyBorder="1"/>
    <xf numFmtId="172" fontId="16" fillId="68" borderId="1" xfId="2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4" fontId="2" fillId="0" borderId="0" xfId="5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0" fontId="7" fillId="3" borderId="73" xfId="0" applyFont="1" applyFill="1" applyBorder="1" applyAlignment="1" applyProtection="1">
      <alignment horizontal="center" vertical="center" wrapText="1"/>
    </xf>
    <xf numFmtId="0" fontId="7" fillId="3" borderId="74" xfId="0" applyFont="1" applyFill="1" applyBorder="1" applyAlignment="1" applyProtection="1">
      <alignment horizontal="center" vertical="center" wrapText="1"/>
    </xf>
    <xf numFmtId="0" fontId="7" fillId="3" borderId="74" xfId="0" applyFont="1" applyFill="1" applyBorder="1" applyAlignment="1" applyProtection="1">
      <alignment horizontal="center" vertical="center"/>
    </xf>
    <xf numFmtId="0" fontId="7" fillId="3" borderId="75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10" fontId="7" fillId="10" borderId="76" xfId="8" applyNumberFormat="1" applyFont="1" applyFill="1" applyBorder="1" applyAlignment="1" applyProtection="1">
      <alignment horizontal="center" vertical="center"/>
    </xf>
    <xf numFmtId="0" fontId="0" fillId="0" borderId="30" xfId="0" applyBorder="1" applyAlignment="1">
      <alignment vertical="center"/>
    </xf>
    <xf numFmtId="0" fontId="4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9" fontId="8" fillId="3" borderId="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0" fontId="68" fillId="0" borderId="0" xfId="0" applyNumberFormat="1" applyFont="1" applyFill="1" applyAlignment="1">
      <alignment horizontal="center" vertical="center"/>
    </xf>
    <xf numFmtId="0" fontId="68" fillId="0" borderId="0" xfId="0" applyNumberFormat="1" applyFont="1" applyFill="1" applyAlignment="1">
      <alignment vertical="center"/>
    </xf>
    <xf numFmtId="3" fontId="68" fillId="0" borderId="2" xfId="0" applyNumberFormat="1" applyFont="1" applyFill="1" applyBorder="1" applyAlignment="1">
      <alignment horizontal="center" vertical="center"/>
    </xf>
    <xf numFmtId="0" fontId="68" fillId="0" borderId="0" xfId="0" applyNumberFormat="1" applyFont="1" applyFill="1" applyBorder="1" applyAlignment="1">
      <alignment horizontal="center" vertical="center"/>
    </xf>
    <xf numFmtId="4" fontId="68" fillId="0" borderId="1" xfId="0" applyNumberFormat="1" applyFont="1" applyFill="1" applyBorder="1" applyAlignment="1">
      <alignment horizontal="center" vertical="center"/>
    </xf>
    <xf numFmtId="0" fontId="68" fillId="68" borderId="12" xfId="0" applyNumberFormat="1" applyFont="1" applyFill="1" applyBorder="1" applyAlignment="1">
      <alignment horizontal="center" vertical="center"/>
    </xf>
    <xf numFmtId="0" fontId="68" fillId="0" borderId="0" xfId="0" applyFont="1" applyFill="1"/>
    <xf numFmtId="0" fontId="69" fillId="0" borderId="0" xfId="0" applyFont="1" applyFill="1" applyAlignment="1">
      <alignment horizontal="center"/>
    </xf>
    <xf numFmtId="0" fontId="69" fillId="0" borderId="0" xfId="0" applyFont="1" applyFill="1" applyAlignment="1">
      <alignment horizontal="left"/>
    </xf>
    <xf numFmtId="0" fontId="68" fillId="0" borderId="0" xfId="0" applyFont="1" applyAlignment="1">
      <alignment horizontal="left"/>
    </xf>
    <xf numFmtId="0" fontId="68" fillId="0" borderId="0" xfId="0" applyFont="1" applyBorder="1" applyAlignment="1">
      <alignment horizontal="left"/>
    </xf>
    <xf numFmtId="0" fontId="68" fillId="0" borderId="0" xfId="0" applyFont="1" applyFill="1" applyBorder="1" applyAlignment="1">
      <alignment horizontal="left" vertical="top"/>
    </xf>
    <xf numFmtId="0" fontId="68" fillId="0" borderId="0" xfId="0" applyFont="1" applyBorder="1"/>
    <xf numFmtId="3" fontId="68" fillId="0" borderId="1" xfId="0" applyNumberFormat="1" applyFont="1" applyFill="1" applyBorder="1" applyAlignment="1">
      <alignment horizontal="left" vertical="center"/>
    </xf>
    <xf numFmtId="167" fontId="4" fillId="0" borderId="1" xfId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top"/>
    </xf>
    <xf numFmtId="0" fontId="69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3" fontId="68" fillId="0" borderId="0" xfId="0" applyNumberFormat="1" applyFont="1" applyBorder="1" applyAlignment="1">
      <alignment vertical="center"/>
    </xf>
    <xf numFmtId="167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8" fillId="0" borderId="0" xfId="0" applyFont="1"/>
    <xf numFmtId="0" fontId="69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3" borderId="0" xfId="0" applyNumberFormat="1" applyFill="1"/>
    <xf numFmtId="2" fontId="69" fillId="0" borderId="0" xfId="0" applyNumberFormat="1" applyFont="1" applyFill="1" applyAlignment="1">
      <alignment horizontal="center"/>
    </xf>
    <xf numFmtId="0" fontId="58" fillId="0" borderId="0" xfId="12" applyFont="1" applyFill="1" applyBorder="1" applyAlignment="1">
      <alignment horizontal="center" vertical="center" wrapText="1"/>
    </xf>
    <xf numFmtId="10" fontId="0" fillId="0" borderId="0" xfId="0" applyNumberFormat="1"/>
    <xf numFmtId="2" fontId="67" fillId="8" borderId="3" xfId="0" quotePrefix="1" applyNumberFormat="1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vertical="center" wrapText="1"/>
    </xf>
    <xf numFmtId="164" fontId="7" fillId="9" borderId="0" xfId="2" applyFont="1" applyFill="1" applyBorder="1" applyAlignment="1" applyProtection="1">
      <alignment vertical="center" wrapText="1"/>
      <protection locked="0"/>
    </xf>
    <xf numFmtId="164" fontId="4" fillId="7" borderId="0" xfId="2" applyFont="1" applyFill="1" applyBorder="1" applyAlignment="1" applyProtection="1">
      <alignment vertical="center" wrapText="1"/>
      <protection locked="0"/>
    </xf>
    <xf numFmtId="164" fontId="7" fillId="7" borderId="0" xfId="2" applyFont="1" applyFill="1" applyBorder="1" applyAlignment="1" applyProtection="1">
      <alignment vertical="center" wrapText="1"/>
      <protection locked="0"/>
    </xf>
    <xf numFmtId="164" fontId="4" fillId="69" borderId="0" xfId="2" applyFont="1" applyFill="1" applyBorder="1" applyAlignment="1" applyProtection="1">
      <alignment vertical="center" wrapText="1"/>
      <protection locked="0"/>
    </xf>
    <xf numFmtId="164" fontId="4" fillId="70" borderId="0" xfId="2" applyFont="1" applyFill="1" applyBorder="1" applyAlignment="1" applyProtection="1">
      <alignment vertical="center" wrapText="1"/>
      <protection locked="0"/>
    </xf>
    <xf numFmtId="2" fontId="0" fillId="3" borderId="0" xfId="0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3" fillId="3" borderId="1" xfId="5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8" fillId="0" borderId="2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164" fontId="0" fillId="3" borderId="0" xfId="2" applyFont="1" applyFill="1"/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4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7" fillId="0" borderId="0" xfId="0" applyFont="1"/>
    <xf numFmtId="40" fontId="7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71" borderId="0" xfId="2" applyFont="1" applyFill="1" applyBorder="1" applyAlignment="1" applyProtection="1">
      <alignment vertical="center" wrapText="1"/>
      <protection locked="0"/>
    </xf>
    <xf numFmtId="0" fontId="0" fillId="2" borderId="0" xfId="0" applyFill="1"/>
    <xf numFmtId="3" fontId="68" fillId="0" borderId="1" xfId="0" applyNumberFormat="1" applyFont="1" applyBorder="1" applyAlignment="1">
      <alignment vertical="center"/>
    </xf>
    <xf numFmtId="0" fontId="4" fillId="7" borderId="15" xfId="0" applyFont="1" applyFill="1" applyBorder="1" applyAlignment="1" applyProtection="1">
      <alignment horizontal="left" vertical="center" wrapText="1"/>
      <protection locked="0"/>
    </xf>
    <xf numFmtId="49" fontId="4" fillId="6" borderId="39" xfId="0" applyNumberFormat="1" applyFont="1" applyFill="1" applyBorder="1" applyAlignment="1" applyProtection="1">
      <alignment horizontal="center" vertical="center" wrapText="1"/>
      <protection locked="0"/>
    </xf>
    <xf numFmtId="2" fontId="4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5" xfId="0" applyFont="1" applyFill="1" applyBorder="1" applyAlignment="1" applyProtection="1">
      <alignment horizontal="center" vertical="center" wrapText="1"/>
      <protection locked="0"/>
    </xf>
    <xf numFmtId="164" fontId="4" fillId="7" borderId="15" xfId="2" applyFont="1" applyFill="1" applyBorder="1" applyAlignment="1" applyProtection="1">
      <alignment horizontal="center" vertical="center" wrapText="1"/>
      <protection locked="0"/>
    </xf>
    <xf numFmtId="164" fontId="4" fillId="7" borderId="15" xfId="2" applyFont="1" applyFill="1" applyBorder="1" applyAlignment="1" applyProtection="1">
      <alignment vertical="center" wrapText="1"/>
      <protection locked="0"/>
    </xf>
    <xf numFmtId="164" fontId="4" fillId="7" borderId="77" xfId="2" applyFont="1" applyFill="1" applyBorder="1" applyAlignment="1" applyProtection="1">
      <alignment vertical="center" wrapText="1"/>
      <protection locked="0"/>
    </xf>
    <xf numFmtId="3" fontId="7" fillId="72" borderId="2" xfId="0" applyNumberFormat="1" applyFont="1" applyFill="1" applyBorder="1" applyAlignment="1">
      <alignment horizontal="center" vertical="center"/>
    </xf>
    <xf numFmtId="3" fontId="2" fillId="73" borderId="1" xfId="0" applyNumberFormat="1" applyFont="1" applyFill="1" applyBorder="1" applyAlignment="1">
      <alignment vertical="center"/>
    </xf>
    <xf numFmtId="171" fontId="4" fillId="8" borderId="3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164" fontId="0" fillId="0" borderId="0" xfId="0" applyNumberFormat="1"/>
    <xf numFmtId="167" fontId="0" fillId="0" borderId="0" xfId="1" applyFont="1"/>
    <xf numFmtId="10" fontId="4" fillId="3" borderId="1" xfId="12" applyNumberFormat="1" applyFont="1" applyFill="1" applyBorder="1" applyAlignment="1">
      <alignment horizontal="center" vertical="center"/>
    </xf>
    <xf numFmtId="165" fontId="4" fillId="2" borderId="1" xfId="12" applyNumberFormat="1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horizontal="center" vertical="center"/>
    </xf>
    <xf numFmtId="43" fontId="69" fillId="72" borderId="1" xfId="282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3" fillId="0" borderId="1" xfId="0" applyFont="1" applyBorder="1" applyAlignment="1">
      <alignment vertical="center"/>
    </xf>
    <xf numFmtId="0" fontId="76" fillId="0" borderId="0" xfId="198" applyFont="1"/>
    <xf numFmtId="0" fontId="76" fillId="3" borderId="0" xfId="198" applyFont="1" applyFill="1" applyAlignment="1">
      <alignment horizontal="center" vertical="center"/>
    </xf>
    <xf numFmtId="0" fontId="76" fillId="3" borderId="0" xfId="198" applyFont="1" applyFill="1"/>
    <xf numFmtId="0" fontId="75" fillId="3" borderId="0" xfId="0" applyFont="1" applyFill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14" fillId="8" borderId="4" xfId="0" applyNumberFormat="1" applyFont="1" applyFill="1" applyBorder="1" applyAlignment="1"/>
    <xf numFmtId="0" fontId="14" fillId="0" borderId="0" xfId="0" applyFont="1" applyAlignment="1"/>
    <xf numFmtId="43" fontId="69" fillId="72" borderId="1" xfId="282" applyFont="1" applyFill="1" applyBorder="1" applyAlignment="1">
      <alignment horizontal="center" vertical="center" wrapText="1"/>
    </xf>
    <xf numFmtId="183" fontId="69" fillId="7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9" fillId="72" borderId="1" xfId="0" applyFont="1" applyFill="1" applyBorder="1" applyAlignment="1">
      <alignment horizontal="left" vertical="center" wrapText="1"/>
    </xf>
    <xf numFmtId="0" fontId="68" fillId="0" borderId="1" xfId="0" applyFont="1" applyBorder="1" applyAlignment="1">
      <alignment vertical="center" wrapText="1"/>
    </xf>
    <xf numFmtId="0" fontId="79" fillId="0" borderId="1" xfId="101" applyFont="1" applyBorder="1" applyAlignment="1">
      <alignment horizontal="center" vertical="center" wrapText="1"/>
    </xf>
    <xf numFmtId="164" fontId="68" fillId="0" borderId="1" xfId="2" applyFont="1" applyBorder="1" applyAlignment="1">
      <alignment horizontal="center" vertical="center" wrapText="1"/>
    </xf>
    <xf numFmtId="183" fontId="79" fillId="0" borderId="1" xfId="101" applyNumberFormat="1" applyFont="1" applyBorder="1" applyAlignment="1">
      <alignment horizontal="center" vertical="center" wrapText="1"/>
    </xf>
    <xf numFmtId="0" fontId="69" fillId="72" borderId="1" xfId="0" quotePrefix="1" applyFont="1" applyFill="1" applyBorder="1" applyAlignment="1">
      <alignment horizontal="center" vertical="center"/>
    </xf>
    <xf numFmtId="0" fontId="69" fillId="72" borderId="1" xfId="0" applyFont="1" applyFill="1" applyBorder="1" applyAlignment="1">
      <alignment horizontal="center" vertical="center"/>
    </xf>
    <xf numFmtId="0" fontId="14" fillId="0" borderId="6" xfId="0" applyFont="1" applyBorder="1"/>
    <xf numFmtId="0" fontId="14" fillId="0" borderId="5" xfId="0" applyFont="1" applyBorder="1"/>
    <xf numFmtId="0" fontId="0" fillId="0" borderId="0" xfId="0"/>
    <xf numFmtId="4" fontId="79" fillId="0" borderId="1" xfId="101" applyNumberFormat="1" applyFont="1" applyBorder="1" applyAlignment="1">
      <alignment horizontal="center" vertical="top" wrapText="1"/>
    </xf>
    <xf numFmtId="9" fontId="4" fillId="3" borderId="1" xfId="12" applyNumberFormat="1" applyFont="1" applyFill="1" applyBorder="1" applyAlignment="1">
      <alignment horizontal="center" vertical="center"/>
    </xf>
    <xf numFmtId="165" fontId="9" fillId="0" borderId="1" xfId="12" applyNumberFormat="1" applyFont="1" applyFill="1" applyBorder="1" applyAlignment="1">
      <alignment vertical="center"/>
    </xf>
    <xf numFmtId="10" fontId="4" fillId="0" borderId="1" xfId="123" applyNumberFormat="1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vertical="center"/>
    </xf>
    <xf numFmtId="0" fontId="80" fillId="3" borderId="0" xfId="0" applyFont="1" applyFill="1"/>
    <xf numFmtId="0" fontId="4" fillId="2" borderId="1" xfId="12" applyFont="1" applyFill="1" applyBorder="1" applyAlignment="1">
      <alignment horizontal="center" vertical="center"/>
    </xf>
    <xf numFmtId="172" fontId="7" fillId="2" borderId="1" xfId="12" applyNumberFormat="1" applyFont="1" applyFill="1" applyBorder="1" applyAlignment="1">
      <alignment horizontal="center" vertical="center"/>
    </xf>
    <xf numFmtId="10" fontId="7" fillId="0" borderId="1" xfId="12" applyNumberFormat="1" applyFont="1" applyFill="1" applyBorder="1" applyAlignment="1">
      <alignment horizontal="center" vertical="center"/>
    </xf>
    <xf numFmtId="165" fontId="4" fillId="3" borderId="1" xfId="12" applyNumberFormat="1" applyFont="1" applyFill="1" applyBorder="1" applyAlignment="1">
      <alignment horizontal="center" vertical="center"/>
    </xf>
    <xf numFmtId="0" fontId="31" fillId="0" borderId="0" xfId="12" applyFont="1" applyFill="1" applyBorder="1" applyAlignment="1">
      <alignment horizontal="left" vertical="top"/>
    </xf>
    <xf numFmtId="0" fontId="9" fillId="2" borderId="1" xfId="12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/>
    </xf>
    <xf numFmtId="0" fontId="31" fillId="0" borderId="0" xfId="12" applyFont="1" applyFill="1" applyBorder="1" applyAlignment="1">
      <alignment horizontal="center" vertical="top"/>
    </xf>
    <xf numFmtId="0" fontId="7" fillId="74" borderId="65" xfId="0" applyFont="1" applyFill="1" applyBorder="1" applyAlignment="1" applyProtection="1">
      <alignment horizontal="center" vertical="center" wrapText="1"/>
    </xf>
    <xf numFmtId="0" fontId="7" fillId="74" borderId="66" xfId="0" applyNumberFormat="1" applyFont="1" applyFill="1" applyBorder="1" applyAlignment="1" applyProtection="1">
      <alignment horizontal="center" vertical="center" wrapText="1"/>
    </xf>
    <xf numFmtId="0" fontId="7" fillId="74" borderId="66" xfId="0" applyFont="1" applyFill="1" applyBorder="1" applyAlignment="1" applyProtection="1">
      <alignment horizontal="center" vertical="center" wrapText="1"/>
    </xf>
    <xf numFmtId="0" fontId="7" fillId="74" borderId="66" xfId="0" applyFont="1" applyFill="1" applyBorder="1" applyAlignment="1" applyProtection="1">
      <alignment horizontal="left" vertical="center" wrapText="1"/>
    </xf>
    <xf numFmtId="0" fontId="7" fillId="74" borderId="66" xfId="0" applyFont="1" applyFill="1" applyBorder="1" applyAlignment="1" applyProtection="1">
      <alignment horizontal="center" vertical="center"/>
    </xf>
    <xf numFmtId="164" fontId="4" fillId="75" borderId="66" xfId="2" applyFont="1" applyFill="1" applyBorder="1" applyAlignment="1" applyProtection="1">
      <alignment horizontal="center" vertical="center" wrapText="1"/>
      <protection locked="0"/>
    </xf>
    <xf numFmtId="164" fontId="4" fillId="75" borderId="66" xfId="2" applyFont="1" applyFill="1" applyBorder="1" applyAlignment="1" applyProtection="1">
      <alignment vertical="center" wrapText="1"/>
      <protection locked="0"/>
    </xf>
    <xf numFmtId="164" fontId="7" fillId="75" borderId="72" xfId="2" applyFont="1" applyFill="1" applyBorder="1" applyAlignment="1" applyProtection="1">
      <alignment vertical="center" wrapText="1"/>
      <protection locked="0"/>
    </xf>
    <xf numFmtId="49" fontId="7" fillId="76" borderId="30" xfId="0" applyNumberFormat="1" applyFont="1" applyFill="1" applyBorder="1" applyAlignment="1" applyProtection="1">
      <alignment vertical="center" wrapText="1"/>
      <protection locked="0"/>
    </xf>
    <xf numFmtId="49" fontId="7" fillId="76" borderId="31" xfId="0" applyNumberFormat="1" applyFont="1" applyFill="1" applyBorder="1" applyAlignment="1" applyProtection="1">
      <alignment vertical="center" wrapText="1"/>
      <protection locked="0"/>
    </xf>
    <xf numFmtId="49" fontId="7" fillId="76" borderId="34" xfId="0" applyNumberFormat="1" applyFont="1" applyFill="1" applyBorder="1" applyAlignment="1" applyProtection="1">
      <alignment horizontal="right" vertical="center"/>
      <protection locked="0"/>
    </xf>
    <xf numFmtId="164" fontId="7" fillId="77" borderId="35" xfId="2" applyFont="1" applyFill="1" applyBorder="1" applyAlignment="1" applyProtection="1">
      <alignment vertical="center" wrapText="1"/>
      <protection locked="0"/>
    </xf>
    <xf numFmtId="49" fontId="7" fillId="78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78" borderId="3" xfId="0" applyNumberFormat="1" applyFont="1" applyFill="1" applyBorder="1" applyAlignment="1" applyProtection="1">
      <alignment vertical="center" wrapText="1"/>
      <protection locked="0"/>
    </xf>
    <xf numFmtId="164" fontId="78" fillId="73" borderId="32" xfId="0" applyNumberFormat="1" applyFont="1" applyFill="1" applyBorder="1" applyAlignment="1">
      <alignment vertical="center"/>
    </xf>
    <xf numFmtId="169" fontId="5" fillId="72" borderId="2" xfId="5" applyNumberFormat="1" applyFont="1" applyFill="1" applyBorder="1" applyAlignment="1">
      <alignment horizontal="center" vertical="top" wrapText="1"/>
    </xf>
    <xf numFmtId="3" fontId="2" fillId="72" borderId="2" xfId="0" applyNumberFormat="1" applyFont="1" applyFill="1" applyBorder="1" applyAlignment="1">
      <alignment horizontal="center" vertical="center"/>
    </xf>
    <xf numFmtId="0" fontId="7" fillId="72" borderId="2" xfId="0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4" fontId="3" fillId="0" borderId="0" xfId="0" applyNumberFormat="1" applyFont="1" applyBorder="1" applyAlignment="1">
      <alignment horizontal="center" vertical="center"/>
    </xf>
    <xf numFmtId="0" fontId="0" fillId="3" borderId="78" xfId="0" applyFill="1" applyBorder="1" applyAlignment="1"/>
    <xf numFmtId="0" fontId="13" fillId="3" borderId="78" xfId="0" applyFont="1" applyFill="1" applyBorder="1" applyAlignment="1">
      <alignment horizontal="center" vertical="center"/>
    </xf>
    <xf numFmtId="0" fontId="13" fillId="3" borderId="80" xfId="0" applyFont="1" applyFill="1" applyBorder="1"/>
    <xf numFmtId="0" fontId="13" fillId="3" borderId="0" xfId="0" applyFont="1" applyFill="1" applyBorder="1" applyAlignment="1">
      <alignment horizontal="right" vertical="center"/>
    </xf>
    <xf numFmtId="0" fontId="13" fillId="3" borderId="81" xfId="0" applyFont="1" applyFill="1" applyBorder="1"/>
    <xf numFmtId="184" fontId="0" fillId="0" borderId="0" xfId="0" applyNumberFormat="1"/>
    <xf numFmtId="164" fontId="78" fillId="3" borderId="0" xfId="0" applyNumberFormat="1" applyFont="1" applyFill="1"/>
    <xf numFmtId="164" fontId="4" fillId="7" borderId="13" xfId="2" applyFont="1" applyFill="1" applyBorder="1" applyAlignment="1" applyProtection="1">
      <alignment vertical="center" wrapText="1"/>
      <protection locked="0"/>
    </xf>
    <xf numFmtId="164" fontId="7" fillId="69" borderId="0" xfId="2" applyFont="1" applyFill="1" applyBorder="1" applyAlignment="1" applyProtection="1">
      <alignment vertical="center" wrapText="1"/>
      <protection locked="0"/>
    </xf>
    <xf numFmtId="164" fontId="4" fillId="7" borderId="0" xfId="2" applyFont="1" applyFill="1" applyBorder="1" applyAlignment="1" applyProtection="1">
      <alignment horizontal="center" vertical="center" wrapText="1"/>
      <protection locked="0"/>
    </xf>
    <xf numFmtId="44" fontId="0" fillId="3" borderId="0" xfId="0" applyNumberFormat="1" applyFill="1"/>
    <xf numFmtId="0" fontId="13" fillId="3" borderId="0" xfId="0" applyFont="1" applyFill="1" applyAlignment="1">
      <alignment horizontal="center"/>
    </xf>
    <xf numFmtId="10" fontId="13" fillId="8" borderId="0" xfId="0" applyNumberFormat="1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10" fontId="13" fillId="3" borderId="0" xfId="3" applyNumberFormat="1" applyFont="1" applyFill="1" applyAlignment="1">
      <alignment horizontal="center"/>
    </xf>
    <xf numFmtId="164" fontId="13" fillId="3" borderId="0" xfId="2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6" fontId="13" fillId="3" borderId="0" xfId="0" applyNumberFormat="1" applyFont="1" applyFill="1" applyAlignment="1">
      <alignment horizontal="center"/>
    </xf>
    <xf numFmtId="44" fontId="0" fillId="3" borderId="0" xfId="0" applyNumberFormat="1" applyFill="1" applyAlignment="1">
      <alignment horizontal="center"/>
    </xf>
    <xf numFmtId="164" fontId="0" fillId="3" borderId="0" xfId="2" applyFont="1" applyFill="1" applyAlignment="1">
      <alignment horizontal="center"/>
    </xf>
    <xf numFmtId="44" fontId="13" fillId="3" borderId="0" xfId="0" applyNumberFormat="1" applyFont="1" applyFill="1" applyAlignment="1">
      <alignment horizontal="center"/>
    </xf>
    <xf numFmtId="164" fontId="13" fillId="8" borderId="0" xfId="2" applyFont="1" applyFill="1" applyAlignment="1">
      <alignment horizontal="center"/>
    </xf>
    <xf numFmtId="2" fontId="4" fillId="7" borderId="13" xfId="0" applyNumberFormat="1" applyFont="1" applyFill="1" applyBorder="1" applyAlignment="1" applyProtection="1">
      <alignment horizontal="center" vertical="center" wrapText="1"/>
      <protection locked="0"/>
    </xf>
    <xf numFmtId="40" fontId="4" fillId="0" borderId="0" xfId="0" applyNumberFormat="1" applyFont="1" applyFill="1" applyBorder="1" applyAlignment="1">
      <alignment horizontal="left"/>
    </xf>
    <xf numFmtId="40" fontId="7" fillId="0" borderId="0" xfId="0" applyNumberFormat="1" applyFont="1" applyFill="1" applyAlignment="1">
      <alignment horizontal="left"/>
    </xf>
    <xf numFmtId="40" fontId="7" fillId="0" borderId="0" xfId="0" applyNumberFormat="1" applyFont="1" applyFill="1" applyBorder="1" applyAlignment="1">
      <alignment horizontal="left"/>
    </xf>
    <xf numFmtId="0" fontId="77" fillId="3" borderId="0" xfId="198" applyFont="1" applyFill="1" applyAlignment="1"/>
    <xf numFmtId="0" fontId="77" fillId="3" borderId="0" xfId="198" applyFont="1" applyFill="1" applyBorder="1" applyAlignment="1"/>
    <xf numFmtId="0" fontId="81" fillId="3" borderId="0" xfId="198" applyFont="1" applyFill="1" applyAlignment="1"/>
    <xf numFmtId="44" fontId="0" fillId="3" borderId="0" xfId="0" applyNumberFormat="1" applyFill="1" applyAlignment="1">
      <alignment horizontal="center"/>
    </xf>
    <xf numFmtId="44" fontId="82" fillId="3" borderId="0" xfId="0" applyNumberFormat="1" applyFont="1" applyFill="1"/>
    <xf numFmtId="164" fontId="83" fillId="3" borderId="0" xfId="2" applyFont="1" applyFill="1"/>
    <xf numFmtId="1" fontId="3" fillId="0" borderId="1" xfId="0" applyNumberFormat="1" applyFont="1" applyBorder="1" applyAlignment="1">
      <alignment horizontal="center"/>
    </xf>
    <xf numFmtId="10" fontId="0" fillId="0" borderId="0" xfId="3" applyNumberFormat="1" applyFont="1"/>
    <xf numFmtId="4" fontId="3" fillId="0" borderId="1" xfId="5" applyNumberFormat="1" applyFont="1" applyFill="1" applyBorder="1" applyAlignment="1">
      <alignment horizontal="center" vertical="center"/>
    </xf>
    <xf numFmtId="10" fontId="0" fillId="0" borderId="19" xfId="8" applyNumberFormat="1" applyFont="1" applyFill="1" applyBorder="1" applyAlignment="1" applyProtection="1">
      <alignment horizontal="center" vertical="center"/>
    </xf>
    <xf numFmtId="10" fontId="4" fillId="10" borderId="16" xfId="8" applyNumberFormat="1" applyFont="1" applyFill="1" applyBorder="1" applyAlignment="1" applyProtection="1">
      <alignment horizontal="center" vertical="center"/>
    </xf>
    <xf numFmtId="164" fontId="4" fillId="7" borderId="13" xfId="2" applyFont="1" applyFill="1" applyBorder="1" applyAlignment="1" applyProtection="1">
      <alignment horizontal="center" vertical="center" wrapText="1"/>
      <protection locked="0"/>
    </xf>
    <xf numFmtId="10" fontId="4" fillId="0" borderId="19" xfId="8" applyNumberFormat="1" applyFont="1" applyFill="1" applyBorder="1" applyAlignment="1" applyProtection="1">
      <alignment horizontal="center" vertical="center"/>
    </xf>
    <xf numFmtId="10" fontId="0" fillId="0" borderId="32" xfId="0" applyNumberFormat="1" applyBorder="1" applyAlignment="1">
      <alignment vertical="center"/>
    </xf>
    <xf numFmtId="10" fontId="0" fillId="0" borderId="33" xfId="0" applyNumberFormat="1" applyBorder="1" applyAlignment="1">
      <alignment vertical="center"/>
    </xf>
    <xf numFmtId="44" fontId="0" fillId="3" borderId="0" xfId="0" applyNumberFormat="1" applyFill="1"/>
    <xf numFmtId="164" fontId="0" fillId="0" borderId="0" xfId="2" applyFont="1"/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4" fontId="68" fillId="68" borderId="1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" fontId="4" fillId="0" borderId="0" xfId="5" applyNumberFormat="1" applyFont="1" applyAlignment="1">
      <alignment horizontal="center" vertical="center"/>
    </xf>
    <xf numFmtId="0" fontId="14" fillId="0" borderId="0" xfId="0" applyFont="1" applyFill="1"/>
    <xf numFmtId="0" fontId="4" fillId="0" borderId="0" xfId="0" applyNumberFormat="1" applyFont="1" applyFill="1" applyAlignment="1">
      <alignment vertical="center"/>
    </xf>
    <xf numFmtId="164" fontId="14" fillId="0" borderId="0" xfId="2" applyFont="1"/>
    <xf numFmtId="44" fontId="14" fillId="0" borderId="0" xfId="0" applyNumberFormat="1" applyFont="1"/>
    <xf numFmtId="0" fontId="3" fillId="3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6" fillId="3" borderId="0" xfId="198" applyFont="1" applyFill="1" applyAlignment="1">
      <alignment horizontal="center"/>
    </xf>
    <xf numFmtId="49" fontId="7" fillId="76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78" xfId="0" applyFill="1" applyBorder="1" applyAlignment="1">
      <alignment horizontal="center"/>
    </xf>
    <xf numFmtId="0" fontId="0" fillId="0" borderId="1" xfId="0" applyBorder="1"/>
    <xf numFmtId="16" fontId="10" fillId="0" borderId="0" xfId="0" applyNumberFormat="1" applyFont="1" applyFill="1" applyBorder="1" applyAlignment="1">
      <alignment horizontal="left" vertical="top" wrapText="1"/>
    </xf>
    <xf numFmtId="0" fontId="16" fillId="3" borderId="0" xfId="198" applyFont="1" applyFill="1" applyAlignment="1">
      <alignment horizontal="center"/>
    </xf>
    <xf numFmtId="0" fontId="16" fillId="3" borderId="0" xfId="198" applyFont="1" applyFill="1" applyAlignment="1"/>
    <xf numFmtId="0" fontId="16" fillId="3" borderId="0" xfId="198" applyFont="1" applyFill="1" applyBorder="1" applyAlignment="1"/>
    <xf numFmtId="184" fontId="14" fillId="0" borderId="0" xfId="0" applyNumberFormat="1" applyFont="1"/>
    <xf numFmtId="164" fontId="6" fillId="0" borderId="1" xfId="2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8" fillId="0" borderId="4" xfId="0" applyFont="1" applyBorder="1"/>
    <xf numFmtId="0" fontId="68" fillId="0" borderId="2" xfId="0" applyFont="1" applyBorder="1" applyAlignment="1">
      <alignment horizontal="center" vertical="center"/>
    </xf>
    <xf numFmtId="4" fontId="4" fillId="0" borderId="4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69" fontId="8" fillId="3" borderId="0" xfId="0" applyNumberFormat="1" applyFont="1" applyFill="1" applyAlignment="1">
      <alignment horizontal="right" vertical="center" wrapText="1"/>
    </xf>
    <xf numFmtId="0" fontId="68" fillId="0" borderId="0" xfId="0" applyFont="1" applyAlignment="1">
      <alignment horizontal="left" vertical="top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8" fillId="0" borderId="1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4" fontId="3" fillId="0" borderId="1" xfId="5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68" fillId="68" borderId="11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" fontId="3" fillId="0" borderId="0" xfId="5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4" fontId="4" fillId="0" borderId="2" xfId="5" applyNumberFormat="1" applyFont="1" applyBorder="1" applyAlignment="1">
      <alignment horizontal="center" vertical="center"/>
    </xf>
    <xf numFmtId="4" fontId="4" fillId="0" borderId="1" xfId="5" applyNumberFormat="1" applyFont="1" applyBorder="1" applyAlignment="1">
      <alignment horizontal="center" vertical="center"/>
    </xf>
    <xf numFmtId="4" fontId="4" fillId="3" borderId="4" xfId="5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1" xfId="5" applyNumberFormat="1" applyFont="1" applyFill="1" applyBorder="1" applyAlignment="1">
      <alignment horizontal="center" vertical="center"/>
    </xf>
    <xf numFmtId="4" fontId="4" fillId="0" borderId="0" xfId="5" applyNumberFormat="1" applyFont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84" fillId="0" borderId="0" xfId="0" applyFont="1"/>
    <xf numFmtId="0" fontId="4" fillId="0" borderId="1" xfId="0" applyFont="1" applyBorder="1" applyAlignment="1">
      <alignment horizontal="center"/>
    </xf>
    <xf numFmtId="4" fontId="3" fillId="0" borderId="4" xfId="5" applyNumberFormat="1" applyFont="1" applyBorder="1" applyAlignment="1">
      <alignment horizontal="center"/>
    </xf>
    <xf numFmtId="0" fontId="68" fillId="0" borderId="2" xfId="0" applyFont="1" applyBorder="1" applyAlignment="1">
      <alignment vertical="center"/>
    </xf>
    <xf numFmtId="3" fontId="68" fillId="0" borderId="2" xfId="0" applyNumberFormat="1" applyFont="1" applyBorder="1" applyAlignment="1">
      <alignment vertical="center"/>
    </xf>
    <xf numFmtId="0" fontId="68" fillId="0" borderId="4" xfId="0" applyFont="1" applyBorder="1" applyAlignment="1">
      <alignment horizontal="center"/>
    </xf>
    <xf numFmtId="40" fontId="7" fillId="0" borderId="0" xfId="0" applyNumberFormat="1" applyFont="1" applyFill="1" applyAlignment="1">
      <alignment horizontal="center" wrapText="1"/>
    </xf>
    <xf numFmtId="0" fontId="68" fillId="0" borderId="0" xfId="0" applyFont="1" applyBorder="1" applyAlignment="1">
      <alignment horizontal="center" vertical="center"/>
    </xf>
    <xf numFmtId="186" fontId="3" fillId="0" borderId="1" xfId="5" applyNumberFormat="1" applyFont="1" applyBorder="1" applyAlignment="1">
      <alignment horizontal="center"/>
    </xf>
    <xf numFmtId="49" fontId="7" fillId="76" borderId="33" xfId="0" applyNumberFormat="1" applyFont="1" applyFill="1" applyBorder="1" applyAlignment="1" applyProtection="1">
      <alignment horizontal="center" vertical="center" wrapText="1"/>
      <protection locked="0"/>
    </xf>
    <xf numFmtId="49" fontId="7" fillId="76" borderId="33" xfId="0" applyNumberFormat="1" applyFont="1" applyFill="1" applyBorder="1" applyAlignment="1" applyProtection="1">
      <alignment vertical="center" wrapText="1"/>
      <protection locked="0"/>
    </xf>
    <xf numFmtId="49" fontId="7" fillId="76" borderId="40" xfId="0" applyNumberFormat="1" applyFont="1" applyFill="1" applyBorder="1" applyAlignment="1" applyProtection="1">
      <alignment vertical="center" wrapText="1"/>
      <protection locked="0"/>
    </xf>
    <xf numFmtId="3" fontId="68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3" fontId="84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5" applyNumberFormat="1" applyFont="1" applyFill="1" applyBorder="1" applyAlignment="1">
      <alignment horizontal="center" vertical="center"/>
    </xf>
    <xf numFmtId="0" fontId="87" fillId="0" borderId="0" xfId="0" applyFont="1" applyAlignment="1">
      <alignment vertical="center"/>
    </xf>
    <xf numFmtId="0" fontId="88" fillId="0" borderId="0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44" fontId="0" fillId="3" borderId="0" xfId="0" applyNumberFormat="1" applyFill="1" applyAlignment="1">
      <alignment horizontal="center"/>
    </xf>
    <xf numFmtId="49" fontId="7" fillId="76" borderId="33" xfId="0" applyNumberFormat="1" applyFont="1" applyFill="1" applyBorder="1" applyAlignment="1" applyProtection="1">
      <alignment horizontal="right" vertical="center"/>
      <protection locked="0"/>
    </xf>
    <xf numFmtId="164" fontId="7" fillId="77" borderId="41" xfId="2" applyFont="1" applyFill="1" applyBorder="1" applyAlignment="1" applyProtection="1">
      <alignment vertical="center" wrapText="1"/>
      <protection locked="0"/>
    </xf>
    <xf numFmtId="0" fontId="89" fillId="3" borderId="1" xfId="312" applyNumberFormat="1" applyFont="1" applyFill="1" applyBorder="1" applyAlignment="1" applyProtection="1">
      <alignment horizontal="left" vertical="center" wrapText="1"/>
    </xf>
    <xf numFmtId="0" fontId="89" fillId="3" borderId="1" xfId="312" applyNumberFormat="1" applyFont="1" applyFill="1" applyBorder="1" applyAlignment="1" applyProtection="1">
      <alignment horizontal="center" vertical="center"/>
    </xf>
    <xf numFmtId="4" fontId="14" fillId="0" borderId="0" xfId="0" applyNumberFormat="1" applyFont="1"/>
    <xf numFmtId="164" fontId="4" fillId="0" borderId="0" xfId="2" applyFont="1" applyFill="1" applyBorder="1"/>
    <xf numFmtId="164" fontId="13" fillId="3" borderId="0" xfId="0" applyNumberFormat="1" applyFont="1" applyFill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4" fontId="79" fillId="0" borderId="1" xfId="101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4" fontId="3" fillId="0" borderId="1" xfId="5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3" fillId="0" borderId="1" xfId="5" applyNumberFormat="1" applyFont="1" applyBorder="1" applyAlignment="1">
      <alignment horizontal="center"/>
    </xf>
    <xf numFmtId="0" fontId="0" fillId="3" borderId="2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81" xfId="0" applyFill="1" applyBorder="1"/>
    <xf numFmtId="164" fontId="4" fillId="7" borderId="84" xfId="2" applyFont="1" applyFill="1" applyBorder="1" applyAlignment="1" applyProtection="1">
      <alignment vertical="center" wrapText="1"/>
      <protection locked="0"/>
    </xf>
    <xf numFmtId="49" fontId="7" fillId="78" borderId="82" xfId="0" applyNumberFormat="1" applyFont="1" applyFill="1" applyBorder="1" applyAlignment="1" applyProtection="1">
      <alignment vertical="center" wrapText="1"/>
      <protection locked="0"/>
    </xf>
    <xf numFmtId="49" fontId="7" fillId="78" borderId="83" xfId="0" applyNumberFormat="1" applyFont="1" applyFill="1" applyBorder="1" applyAlignment="1" applyProtection="1">
      <alignment vertical="center" wrapText="1"/>
      <protection locked="0"/>
    </xf>
    <xf numFmtId="0" fontId="79" fillId="0" borderId="0" xfId="101" applyFont="1" applyBorder="1" applyAlignment="1">
      <alignment horizontal="center" vertical="center" wrapText="1"/>
    </xf>
    <xf numFmtId="185" fontId="14" fillId="0" borderId="0" xfId="0" applyNumberFormat="1" applyFont="1"/>
    <xf numFmtId="0" fontId="68" fillId="0" borderId="7" xfId="0" applyFont="1" applyBorder="1" applyAlignment="1">
      <alignment vertical="center" wrapText="1"/>
    </xf>
    <xf numFmtId="49" fontId="4" fillId="7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80" borderId="1" xfId="0" applyFill="1" applyBorder="1" applyAlignment="1">
      <alignment horizontal="center" vertical="center"/>
    </xf>
    <xf numFmtId="0" fontId="13" fillId="80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3" borderId="1" xfId="0" applyNumberFormat="1" applyFill="1" applyBorder="1"/>
    <xf numFmtId="44" fontId="13" fillId="3" borderId="1" xfId="0" applyNumberFormat="1" applyFont="1" applyFill="1" applyBorder="1" applyAlignment="1">
      <alignment horizontal="center" vertical="center"/>
    </xf>
    <xf numFmtId="44" fontId="13" fillId="3" borderId="1" xfId="0" applyNumberFormat="1" applyFont="1" applyFill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13" fillId="3" borderId="1" xfId="0" applyFont="1" applyFill="1" applyBorder="1" applyAlignment="1"/>
    <xf numFmtId="0" fontId="13" fillId="3" borderId="1" xfId="0" applyFont="1" applyFill="1" applyBorder="1" applyAlignment="1">
      <alignment horizontal="center"/>
    </xf>
    <xf numFmtId="0" fontId="13" fillId="3" borderId="33" xfId="0" applyFont="1" applyFill="1" applyBorder="1"/>
    <xf numFmtId="0" fontId="68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" fontId="3" fillId="0" borderId="1" xfId="5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4" fontId="4" fillId="0" borderId="1" xfId="5" applyNumberFormat="1" applyFont="1" applyBorder="1" applyAlignment="1">
      <alignment horizontal="center" vertical="center"/>
    </xf>
    <xf numFmtId="4" fontId="68" fillId="68" borderId="11" xfId="0" applyNumberFormat="1" applyFont="1" applyFill="1" applyBorder="1" applyAlignment="1">
      <alignment horizontal="center" vertical="center"/>
    </xf>
    <xf numFmtId="164" fontId="31" fillId="0" borderId="0" xfId="2" applyFont="1" applyFill="1" applyBorder="1" applyAlignment="1">
      <alignment horizontal="left" vertical="top"/>
    </xf>
    <xf numFmtId="44" fontId="31" fillId="0" borderId="0" xfId="12" applyNumberFormat="1" applyFont="1" applyFill="1" applyBorder="1" applyAlignment="1">
      <alignment horizontal="left" vertical="top"/>
    </xf>
    <xf numFmtId="3" fontId="4" fillId="3" borderId="0" xfId="0" applyNumberFormat="1" applyFont="1" applyFill="1" applyBorder="1" applyAlignment="1">
      <alignment horizontal="center" vertical="center"/>
    </xf>
    <xf numFmtId="4" fontId="4" fillId="3" borderId="0" xfId="5" applyNumberFormat="1" applyFont="1" applyFill="1" applyBorder="1" applyAlignment="1">
      <alignment horizontal="center" vertical="center"/>
    </xf>
    <xf numFmtId="187" fontId="14" fillId="0" borderId="1" xfId="0" applyNumberFormat="1" applyFont="1" applyBorder="1" applyAlignment="1">
      <alignment horizontal="center"/>
    </xf>
    <xf numFmtId="184" fontId="14" fillId="0" borderId="1" xfId="0" applyNumberFormat="1" applyFont="1" applyBorder="1" applyAlignment="1">
      <alignment horizontal="center"/>
    </xf>
    <xf numFmtId="184" fontId="14" fillId="0" borderId="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87" fontId="7" fillId="0" borderId="0" xfId="0" applyNumberFormat="1" applyFont="1" applyAlignment="1">
      <alignment horizontal="left" vertical="center" wrapText="1"/>
    </xf>
    <xf numFmtId="0" fontId="68" fillId="0" borderId="1" xfId="0" applyFont="1" applyBorder="1" applyAlignment="1">
      <alignment horizontal="center" wrapText="1"/>
    </xf>
    <xf numFmtId="9" fontId="68" fillId="0" borderId="1" xfId="3" applyFont="1" applyBorder="1" applyAlignment="1">
      <alignment horizontal="center"/>
    </xf>
    <xf numFmtId="164" fontId="13" fillId="0" borderId="0" xfId="2" applyFont="1"/>
    <xf numFmtId="1" fontId="6" fillId="0" borderId="1" xfId="0" applyNumberFormat="1" applyFont="1" applyBorder="1" applyAlignment="1">
      <alignment horizontal="center" vertical="top"/>
    </xf>
    <xf numFmtId="172" fontId="15" fillId="4" borderId="0" xfId="0" applyNumberFormat="1" applyFont="1" applyFill="1" applyBorder="1" applyAlignment="1">
      <alignment horizontal="left" vertical="top"/>
    </xf>
    <xf numFmtId="172" fontId="15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4" fontId="68" fillId="68" borderId="11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5" applyNumberFormat="1" applyFont="1" applyBorder="1" applyAlignment="1">
      <alignment horizontal="center" vertical="center"/>
    </xf>
    <xf numFmtId="0" fontId="68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8" fillId="0" borderId="0" xfId="0" applyFont="1" applyBorder="1" applyAlignment="1">
      <alignment vertical="center"/>
    </xf>
    <xf numFmtId="4" fontId="3" fillId="0" borderId="0" xfId="5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8" fillId="0" borderId="1" xfId="0" applyNumberFormat="1" applyFont="1" applyBorder="1" applyAlignment="1">
      <alignment horizontal="center" vertical="center"/>
    </xf>
    <xf numFmtId="3" fontId="68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left" vertical="center"/>
    </xf>
    <xf numFmtId="0" fontId="7" fillId="0" borderId="0" xfId="5" applyNumberFormat="1" applyFont="1" applyFill="1" applyBorder="1" applyAlignment="1">
      <alignment horizontal="left" vertical="center"/>
    </xf>
    <xf numFmtId="4" fontId="68" fillId="0" borderId="0" xfId="0" applyNumberFormat="1" applyFont="1" applyFill="1" applyBorder="1" applyAlignment="1">
      <alignment horizontal="center" vertical="center"/>
    </xf>
    <xf numFmtId="3" fontId="68" fillId="0" borderId="2" xfId="0" applyNumberFormat="1" applyFont="1" applyFill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13" fillId="3" borderId="0" xfId="0" applyNumberFormat="1" applyFont="1" applyFill="1" applyAlignment="1">
      <alignment horizontal="center"/>
    </xf>
    <xf numFmtId="172" fontId="4" fillId="3" borderId="1" xfId="12" applyNumberFormat="1" applyFont="1" applyFill="1" applyBorder="1" applyAlignment="1">
      <alignment horizontal="center" vertical="center"/>
    </xf>
    <xf numFmtId="44" fontId="0" fillId="3" borderId="0" xfId="0" applyNumberFormat="1" applyFill="1" applyAlignment="1">
      <alignment horizontal="center"/>
    </xf>
    <xf numFmtId="0" fontId="77" fillId="3" borderId="0" xfId="198" applyFont="1" applyFill="1" applyAlignment="1">
      <alignment horizontal="center"/>
    </xf>
    <xf numFmtId="0" fontId="77" fillId="3" borderId="0" xfId="198" applyFont="1" applyFill="1" applyBorder="1" applyAlignment="1">
      <alignment horizontal="center"/>
    </xf>
    <xf numFmtId="0" fontId="77" fillId="3" borderId="0" xfId="198" applyFont="1" applyFill="1" applyBorder="1" applyAlignment="1">
      <alignment horizontal="center" vertical="center" wrapText="1"/>
    </xf>
    <xf numFmtId="0" fontId="78" fillId="73" borderId="30" xfId="0" applyFont="1" applyFill="1" applyBorder="1" applyAlignment="1">
      <alignment horizontal="center" vertical="center"/>
    </xf>
    <xf numFmtId="0" fontId="78" fillId="73" borderId="31" xfId="0" applyFont="1" applyFill="1" applyBorder="1" applyAlignment="1">
      <alignment horizontal="center" vertical="center"/>
    </xf>
    <xf numFmtId="0" fontId="58" fillId="0" borderId="79" xfId="12" applyFont="1" applyFill="1" applyBorder="1" applyAlignment="1">
      <alignment horizontal="right" vertical="center"/>
    </xf>
    <xf numFmtId="0" fontId="58" fillId="0" borderId="78" xfId="12" applyFont="1" applyFill="1" applyBorder="1" applyAlignment="1">
      <alignment horizontal="right" vertical="center"/>
    </xf>
    <xf numFmtId="0" fontId="58" fillId="0" borderId="24" xfId="12" applyFont="1" applyFill="1" applyBorder="1" applyAlignment="1">
      <alignment horizontal="right" vertical="center"/>
    </xf>
    <xf numFmtId="0" fontId="58" fillId="0" borderId="0" xfId="12" applyFont="1" applyFill="1" applyBorder="1" applyAlignment="1">
      <alignment horizontal="right" vertical="center"/>
    </xf>
    <xf numFmtId="0" fontId="58" fillId="0" borderId="40" xfId="12" applyFont="1" applyFill="1" applyBorder="1" applyAlignment="1">
      <alignment horizontal="right" vertical="center"/>
    </xf>
    <xf numFmtId="0" fontId="58" fillId="0" borderId="33" xfId="12" applyFont="1" applyFill="1" applyBorder="1" applyAlignment="1">
      <alignment horizontal="right" vertical="center"/>
    </xf>
    <xf numFmtId="0" fontId="13" fillId="3" borderId="78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33" xfId="0" applyFont="1" applyFill="1" applyBorder="1" applyAlignment="1">
      <alignment horizontal="right" vertical="center"/>
    </xf>
    <xf numFmtId="10" fontId="58" fillId="0" borderId="78" xfId="12" applyNumberFormat="1" applyFont="1" applyFill="1" applyBorder="1" applyAlignment="1">
      <alignment horizontal="center" vertical="center"/>
    </xf>
    <xf numFmtId="10" fontId="58" fillId="0" borderId="0" xfId="12" applyNumberFormat="1" applyFont="1" applyFill="1" applyBorder="1" applyAlignment="1">
      <alignment horizontal="center" vertical="center"/>
    </xf>
    <xf numFmtId="10" fontId="58" fillId="0" borderId="33" xfId="12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84" fontId="14" fillId="0" borderId="2" xfId="0" applyNumberFormat="1" applyFont="1" applyBorder="1" applyAlignment="1">
      <alignment horizontal="center" wrapText="1"/>
    </xf>
    <xf numFmtId="184" fontId="14" fillId="0" borderId="3" xfId="0" applyNumberFormat="1" applyFont="1" applyBorder="1" applyAlignment="1">
      <alignment horizontal="center" wrapText="1"/>
    </xf>
    <xf numFmtId="184" fontId="14" fillId="0" borderId="4" xfId="0" applyNumberFormat="1" applyFont="1" applyBorder="1" applyAlignment="1">
      <alignment horizontal="center" wrapText="1"/>
    </xf>
    <xf numFmtId="184" fontId="14" fillId="0" borderId="2" xfId="0" applyNumberFormat="1" applyFont="1" applyBorder="1" applyAlignment="1">
      <alignment horizontal="center" vertical="center" wrapText="1"/>
    </xf>
    <xf numFmtId="184" fontId="14" fillId="0" borderId="3" xfId="0" applyNumberFormat="1" applyFont="1" applyBorder="1" applyAlignment="1">
      <alignment horizontal="center" vertical="center" wrapText="1"/>
    </xf>
    <xf numFmtId="184" fontId="14" fillId="0" borderId="4" xfId="0" applyNumberFormat="1" applyFont="1" applyBorder="1" applyAlignment="1">
      <alignment horizontal="center" vertical="center" wrapText="1"/>
    </xf>
    <xf numFmtId="0" fontId="2" fillId="72" borderId="1" xfId="5" applyNumberFormat="1" applyFont="1" applyFill="1" applyBorder="1" applyAlignment="1">
      <alignment horizontal="center" vertical="center"/>
    </xf>
    <xf numFmtId="0" fontId="16" fillId="3" borderId="0" xfId="198" applyFont="1" applyFill="1" applyAlignment="1">
      <alignment horizontal="center"/>
    </xf>
    <xf numFmtId="0" fontId="16" fillId="3" borderId="0" xfId="198" applyFont="1" applyFill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/>
    </xf>
    <xf numFmtId="0" fontId="5" fillId="7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72" borderId="3" xfId="5" applyFont="1" applyFill="1" applyBorder="1" applyAlignment="1">
      <alignment horizontal="left" vertical="top" wrapText="1"/>
    </xf>
    <xf numFmtId="0" fontId="2" fillId="72" borderId="4" xfId="5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7" fillId="3" borderId="0" xfId="198" applyFont="1" applyFill="1" applyAlignment="1">
      <alignment horizont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81" fillId="3" borderId="0" xfId="198" applyFont="1" applyFill="1" applyAlignment="1">
      <alignment horizontal="center"/>
    </xf>
    <xf numFmtId="0" fontId="2" fillId="72" borderId="3" xfId="5" applyFont="1" applyFill="1" applyBorder="1" applyAlignment="1">
      <alignment horizontal="left" vertical="center"/>
    </xf>
    <xf numFmtId="0" fontId="2" fillId="72" borderId="4" xfId="5" applyFont="1" applyFill="1" applyBorder="1" applyAlignment="1">
      <alignment horizontal="left" vertical="center"/>
    </xf>
    <xf numFmtId="0" fontId="3" fillId="3" borderId="2" xfId="5" applyNumberFormat="1" applyFont="1" applyFill="1" applyBorder="1" applyAlignment="1">
      <alignment horizontal="center" vertical="center"/>
    </xf>
    <xf numFmtId="0" fontId="3" fillId="3" borderId="4" xfId="5" applyNumberFormat="1" applyFont="1" applyFill="1" applyBorder="1" applyAlignment="1">
      <alignment horizontal="center" vertical="center"/>
    </xf>
    <xf numFmtId="0" fontId="81" fillId="3" borderId="0" xfId="198" applyFont="1" applyFill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6" fillId="68" borderId="2" xfId="0" applyFont="1" applyFill="1" applyBorder="1" applyAlignment="1">
      <alignment horizontal="right" vertical="center"/>
    </xf>
    <xf numFmtId="0" fontId="16" fillId="68" borderId="3" xfId="0" applyFont="1" applyFill="1" applyBorder="1" applyAlignment="1">
      <alignment horizontal="right" vertical="center"/>
    </xf>
    <xf numFmtId="0" fontId="16" fillId="68" borderId="4" xfId="0" applyFont="1" applyFill="1" applyBorder="1" applyAlignment="1">
      <alignment horizontal="right" vertical="center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58" fillId="0" borderId="0" xfId="12" applyFont="1" applyFill="1" applyBorder="1" applyAlignment="1">
      <alignment horizontal="center" vertical="center" wrapText="1"/>
    </xf>
    <xf numFmtId="40" fontId="7" fillId="0" borderId="0" xfId="0" applyNumberFormat="1" applyFont="1" applyFill="1" applyAlignment="1">
      <alignment horizontal="center" wrapText="1"/>
    </xf>
    <xf numFmtId="0" fontId="4" fillId="3" borderId="1" xfId="5" applyFont="1" applyFill="1" applyBorder="1" applyAlignment="1">
      <alignment horizontal="center" vertical="center"/>
    </xf>
    <xf numFmtId="4" fontId="4" fillId="0" borderId="1" xfId="5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8" fillId="0" borderId="13" xfId="0" applyFont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3" fontId="68" fillId="0" borderId="1" xfId="0" applyNumberFormat="1" applyFont="1" applyFill="1" applyBorder="1" applyAlignment="1">
      <alignment horizontal="center" vertical="center"/>
    </xf>
    <xf numFmtId="0" fontId="68" fillId="0" borderId="1" xfId="0" applyNumberFormat="1" applyFont="1" applyFill="1" applyBorder="1" applyAlignment="1">
      <alignment horizontal="center" vertical="center"/>
    </xf>
    <xf numFmtId="49" fontId="68" fillId="0" borderId="1" xfId="0" applyNumberFormat="1" applyFont="1" applyBorder="1" applyAlignment="1">
      <alignment horizontal="center" vertical="center" wrapText="1"/>
    </xf>
    <xf numFmtId="3" fontId="68" fillId="0" borderId="1" xfId="0" applyNumberFormat="1" applyFont="1" applyBorder="1" applyAlignment="1">
      <alignment horizontal="center" vertical="center"/>
    </xf>
    <xf numFmtId="0" fontId="69" fillId="0" borderId="0" xfId="0" applyFont="1" applyFill="1" applyAlignment="1">
      <alignment horizontal="left" wrapText="1"/>
    </xf>
    <xf numFmtId="0" fontId="6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7" fillId="72" borderId="3" xfId="0" applyFont="1" applyFill="1" applyBorder="1" applyAlignment="1" applyProtection="1">
      <alignment horizontal="left" vertical="center" wrapText="1"/>
    </xf>
    <xf numFmtId="0" fontId="7" fillId="72" borderId="4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9" fontId="7" fillId="72" borderId="3" xfId="5" applyNumberFormat="1" applyFont="1" applyFill="1" applyBorder="1" applyAlignment="1">
      <alignment horizontal="left" vertical="center"/>
    </xf>
    <xf numFmtId="0" fontId="7" fillId="72" borderId="3" xfId="5" applyNumberFormat="1" applyFont="1" applyFill="1" applyBorder="1" applyAlignment="1">
      <alignment horizontal="left" vertical="center"/>
    </xf>
    <xf numFmtId="0" fontId="7" fillId="72" borderId="4" xfId="5" applyNumberFormat="1" applyFont="1" applyFill="1" applyBorder="1" applyAlignment="1">
      <alignment horizontal="left" vertical="center"/>
    </xf>
    <xf numFmtId="4" fontId="3" fillId="0" borderId="1" xfId="5" applyNumberFormat="1" applyFont="1" applyBorder="1" applyAlignment="1">
      <alignment horizontal="center" vertical="center"/>
    </xf>
    <xf numFmtId="0" fontId="68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3" fontId="68" fillId="0" borderId="2" xfId="0" applyNumberFormat="1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" fontId="3" fillId="0" borderId="2" xfId="5" applyNumberFormat="1" applyFont="1" applyBorder="1" applyAlignment="1">
      <alignment horizontal="center" vertical="center"/>
    </xf>
    <xf numFmtId="4" fontId="3" fillId="0" borderId="4" xfId="5" applyNumberFormat="1" applyFont="1" applyBorder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4" fontId="4" fillId="3" borderId="2" xfId="5" applyNumberFormat="1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70" fillId="0" borderId="1" xfId="0" applyNumberFormat="1" applyFont="1" applyFill="1" applyBorder="1" applyAlignment="1">
      <alignment horizontal="center" vertical="center"/>
    </xf>
    <xf numFmtId="0" fontId="88" fillId="0" borderId="0" xfId="0" applyNumberFormat="1" applyFont="1" applyFill="1" applyAlignment="1">
      <alignment horizontal="center" vertical="center" wrapText="1"/>
    </xf>
    <xf numFmtId="0" fontId="5" fillId="3" borderId="0" xfId="198" applyFont="1" applyFill="1" applyAlignment="1">
      <alignment horizontal="center"/>
    </xf>
    <xf numFmtId="0" fontId="5" fillId="3" borderId="0" xfId="198" applyFont="1" applyFill="1" applyAlignment="1">
      <alignment horizontal="center" wrapText="1"/>
    </xf>
    <xf numFmtId="0" fontId="3" fillId="3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1" fontId="88" fillId="0" borderId="5" xfId="0" applyNumberFormat="1" applyFont="1" applyFill="1" applyBorder="1" applyAlignment="1">
      <alignment horizontal="center" vertical="center" wrapText="1"/>
    </xf>
    <xf numFmtId="171" fontId="8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NumberFormat="1" applyFont="1" applyBorder="1" applyAlignment="1">
      <alignment vertical="center" wrapText="1"/>
    </xf>
    <xf numFmtId="0" fontId="67" fillId="8" borderId="30" xfId="0" applyFont="1" applyFill="1" applyBorder="1" applyAlignment="1">
      <alignment horizontal="center"/>
    </xf>
    <xf numFmtId="0" fontId="67" fillId="8" borderId="31" xfId="0" applyFont="1" applyFill="1" applyBorder="1" applyAlignment="1">
      <alignment horizontal="center"/>
    </xf>
    <xf numFmtId="0" fontId="67" fillId="8" borderId="32" xfId="0" applyFont="1" applyFill="1" applyBorder="1" applyAlignment="1">
      <alignment horizontal="center"/>
    </xf>
    <xf numFmtId="172" fontId="9" fillId="3" borderId="13" xfId="12" applyNumberFormat="1" applyFont="1" applyFill="1" applyBorder="1" applyAlignment="1">
      <alignment horizontal="center" vertical="center"/>
    </xf>
    <xf numFmtId="172" fontId="9" fillId="3" borderId="14" xfId="12" applyNumberFormat="1" applyFont="1" applyFill="1" applyBorder="1" applyAlignment="1">
      <alignment horizontal="center" vertical="center"/>
    </xf>
    <xf numFmtId="172" fontId="9" fillId="3" borderId="15" xfId="12" applyNumberFormat="1" applyFont="1" applyFill="1" applyBorder="1" applyAlignment="1">
      <alignment horizontal="center" vertical="center"/>
    </xf>
    <xf numFmtId="0" fontId="4" fillId="3" borderId="13" xfId="12" applyFont="1" applyFill="1" applyBorder="1" applyAlignment="1">
      <alignment horizontal="center" vertical="center"/>
    </xf>
    <xf numFmtId="0" fontId="4" fillId="3" borderId="14" xfId="12" applyFont="1" applyFill="1" applyBorder="1" applyAlignment="1">
      <alignment horizontal="center" vertical="center"/>
    </xf>
    <xf numFmtId="0" fontId="4" fillId="3" borderId="15" xfId="12" applyFont="1" applyFill="1" applyBorder="1" applyAlignment="1">
      <alignment horizontal="center" vertical="center"/>
    </xf>
    <xf numFmtId="0" fontId="4" fillId="3" borderId="13" xfId="12" applyFont="1" applyFill="1" applyBorder="1" applyAlignment="1">
      <alignment horizontal="left" vertical="center"/>
    </xf>
    <xf numFmtId="0" fontId="4" fillId="3" borderId="14" xfId="12" applyFont="1" applyFill="1" applyBorder="1" applyAlignment="1">
      <alignment horizontal="left" vertical="center"/>
    </xf>
    <xf numFmtId="0" fontId="4" fillId="3" borderId="15" xfId="12" applyFont="1" applyFill="1" applyBorder="1" applyAlignment="1">
      <alignment horizontal="left" vertical="center"/>
    </xf>
    <xf numFmtId="10" fontId="4" fillId="3" borderId="13" xfId="16" applyNumberFormat="1" applyFont="1" applyFill="1" applyBorder="1" applyAlignment="1">
      <alignment horizontal="center" vertical="center"/>
    </xf>
    <xf numFmtId="10" fontId="4" fillId="3" borderId="14" xfId="16" applyNumberFormat="1" applyFont="1" applyFill="1" applyBorder="1" applyAlignment="1">
      <alignment horizontal="center" vertical="center"/>
    </xf>
    <xf numFmtId="10" fontId="4" fillId="3" borderId="15" xfId="16" applyNumberFormat="1" applyFont="1" applyFill="1" applyBorder="1" applyAlignment="1">
      <alignment horizontal="center" vertical="center"/>
    </xf>
    <xf numFmtId="0" fontId="4" fillId="3" borderId="13" xfId="12" applyNumberFormat="1" applyFont="1" applyFill="1" applyBorder="1" applyAlignment="1">
      <alignment horizontal="left" vertical="center"/>
    </xf>
    <xf numFmtId="0" fontId="4" fillId="3" borderId="14" xfId="12" applyNumberFormat="1" applyFont="1" applyFill="1" applyBorder="1" applyAlignment="1">
      <alignment horizontal="left" vertical="center"/>
    </xf>
    <xf numFmtId="0" fontId="4" fillId="3" borderId="15" xfId="12" applyNumberFormat="1" applyFont="1" applyFill="1" applyBorder="1" applyAlignment="1">
      <alignment horizontal="left" vertical="center"/>
    </xf>
    <xf numFmtId="0" fontId="58" fillId="0" borderId="66" xfId="12" applyFont="1" applyFill="1" applyBorder="1" applyAlignment="1">
      <alignment horizontal="center" vertical="center" wrapText="1"/>
    </xf>
    <xf numFmtId="0" fontId="7" fillId="2" borderId="13" xfId="12" applyFont="1" applyFill="1" applyBorder="1" applyAlignment="1">
      <alignment horizontal="center" vertical="center"/>
    </xf>
    <xf numFmtId="0" fontId="7" fillId="2" borderId="15" xfId="12" applyFont="1" applyFill="1" applyBorder="1" applyAlignment="1">
      <alignment horizontal="center" vertical="center"/>
    </xf>
    <xf numFmtId="180" fontId="4" fillId="3" borderId="13" xfId="12" applyNumberFormat="1" applyFont="1" applyFill="1" applyBorder="1" applyAlignment="1">
      <alignment vertical="center"/>
    </xf>
    <xf numFmtId="180" fontId="4" fillId="3" borderId="14" xfId="12" applyNumberFormat="1" applyFont="1" applyFill="1" applyBorder="1" applyAlignment="1">
      <alignment vertical="center"/>
    </xf>
    <xf numFmtId="180" fontId="4" fillId="3" borderId="15" xfId="12" applyNumberFormat="1" applyFont="1" applyFill="1" applyBorder="1" applyAlignment="1">
      <alignment vertical="center"/>
    </xf>
    <xf numFmtId="0" fontId="58" fillId="0" borderId="68" xfId="12" applyFont="1" applyFill="1" applyBorder="1" applyAlignment="1">
      <alignment horizontal="center" vertical="center" wrapText="1"/>
    </xf>
    <xf numFmtId="0" fontId="58" fillId="0" borderId="71" xfId="12" applyFont="1" applyFill="1" applyBorder="1" applyAlignment="1">
      <alignment horizontal="center" vertical="center" wrapText="1"/>
    </xf>
    <xf numFmtId="0" fontId="58" fillId="0" borderId="69" xfId="12" applyFont="1" applyFill="1" applyBorder="1" applyAlignment="1">
      <alignment horizontal="center" vertical="center" wrapText="1"/>
    </xf>
    <xf numFmtId="0" fontId="81" fillId="3" borderId="0" xfId="198" applyFont="1" applyFill="1" applyAlignment="1">
      <alignment horizontal="center" vertical="center" wrapText="1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67" fillId="0" borderId="67" xfId="0" applyFont="1" applyBorder="1" applyAlignment="1">
      <alignment horizontal="center"/>
    </xf>
    <xf numFmtId="0" fontId="67" fillId="0" borderId="66" xfId="0" applyFont="1" applyBorder="1" applyAlignment="1">
      <alignment horizontal="center"/>
    </xf>
    <xf numFmtId="0" fontId="67" fillId="0" borderId="70" xfId="0" applyFont="1" applyBorder="1" applyAlignment="1">
      <alignment horizontal="center"/>
    </xf>
    <xf numFmtId="3" fontId="2" fillId="79" borderId="2" xfId="6" applyNumberFormat="1" applyFont="1" applyFill="1" applyBorder="1" applyAlignment="1">
      <alignment horizontal="center" vertical="center"/>
    </xf>
    <xf numFmtId="3" fontId="2" fillId="79" borderId="3" xfId="6" applyNumberFormat="1" applyFont="1" applyFill="1" applyBorder="1" applyAlignment="1">
      <alignment horizontal="center" vertical="center"/>
    </xf>
    <xf numFmtId="3" fontId="2" fillId="79" borderId="4" xfId="6" applyNumberFormat="1" applyFont="1" applyFill="1" applyBorder="1" applyAlignment="1">
      <alignment horizontal="center" vertical="center"/>
    </xf>
    <xf numFmtId="0" fontId="81" fillId="3" borderId="5" xfId="198" applyFont="1" applyFill="1" applyBorder="1" applyAlignment="1">
      <alignment horizontal="center"/>
    </xf>
    <xf numFmtId="0" fontId="81" fillId="3" borderId="0" xfId="198" applyFont="1" applyFill="1" applyBorder="1" applyAlignment="1">
      <alignment horizontal="center"/>
    </xf>
    <xf numFmtId="0" fontId="81" fillId="3" borderId="5" xfId="198" applyFont="1" applyFill="1" applyBorder="1" applyAlignment="1">
      <alignment horizontal="center" wrapText="1"/>
    </xf>
    <xf numFmtId="0" fontId="81" fillId="3" borderId="0" xfId="198" applyFont="1" applyFill="1" applyBorder="1" applyAlignment="1">
      <alignment horizontal="center" wrapText="1"/>
    </xf>
    <xf numFmtId="0" fontId="13" fillId="80" borderId="2" xfId="0" applyFont="1" applyFill="1" applyBorder="1" applyAlignment="1">
      <alignment horizontal="center" vertical="center" wrapText="1"/>
    </xf>
    <xf numFmtId="0" fontId="13" fillId="80" borderId="3" xfId="0" applyFont="1" applyFill="1" applyBorder="1" applyAlignment="1">
      <alignment horizontal="center" vertical="center" wrapText="1"/>
    </xf>
    <xf numFmtId="0" fontId="13" fillId="80" borderId="4" xfId="0" applyFont="1" applyFill="1" applyBorder="1" applyAlignment="1">
      <alignment horizontal="center" vertical="center" wrapText="1"/>
    </xf>
    <xf numFmtId="0" fontId="13" fillId="8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</cellXfs>
  <cellStyles count="387">
    <cellStyle name="0,0_x000d__x000a_NA_x000d__x000a_" xfId="18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Ênfase1 2" xfId="25"/>
    <cellStyle name="20% - Ênfase1 2 2" xfId="204"/>
    <cellStyle name="20% - Ênfase1 3" xfId="152"/>
    <cellStyle name="20% - Ênfase2 2" xfId="26"/>
    <cellStyle name="20% - Ênfase2 2 2" xfId="205"/>
    <cellStyle name="20% - Ênfase2 3" xfId="153"/>
    <cellStyle name="20% - Ênfase3 2" xfId="27"/>
    <cellStyle name="20% - Ênfase3 2 2" xfId="206"/>
    <cellStyle name="20% - Ênfase3 3" xfId="154"/>
    <cellStyle name="20% - Ênfase4 2" xfId="28"/>
    <cellStyle name="20% - Ênfase4 2 2" xfId="207"/>
    <cellStyle name="20% - Ênfase4 3" xfId="155"/>
    <cellStyle name="20% - Ênfase5 2" xfId="29"/>
    <cellStyle name="20% - Ênfase5 2 2" xfId="208"/>
    <cellStyle name="20% - Ênfase5 3" xfId="156"/>
    <cellStyle name="20% - Ênfase6 2" xfId="30"/>
    <cellStyle name="20% - Ênfase6 2 2" xfId="209"/>
    <cellStyle name="20% - Ênfase6 3" xfId="157"/>
    <cellStyle name="3988,43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Ênfase1 2" xfId="38"/>
    <cellStyle name="40% - Ênfase1 2 2" xfId="211"/>
    <cellStyle name="40% - Ênfase1 3" xfId="158"/>
    <cellStyle name="40% - Ênfase2 2" xfId="39"/>
    <cellStyle name="40% - Ênfase2 2 2" xfId="212"/>
    <cellStyle name="40% - Ênfase2 3" xfId="159"/>
    <cellStyle name="40% - Ênfase3 2" xfId="40"/>
    <cellStyle name="40% - Ênfase3 2 2" xfId="213"/>
    <cellStyle name="40% - Ênfase3 3" xfId="160"/>
    <cellStyle name="40% - Ênfase4 2" xfId="41"/>
    <cellStyle name="40% - Ênfase4 2 2" xfId="214"/>
    <cellStyle name="40% - Ênfase4 3" xfId="161"/>
    <cellStyle name="40% - Ênfase5 2" xfId="42"/>
    <cellStyle name="40% - Ênfase5 2 2" xfId="215"/>
    <cellStyle name="40% - Ênfase5 3" xfId="162"/>
    <cellStyle name="40% - Ênfase6 2" xfId="43"/>
    <cellStyle name="40% - Ênfase6 2 2" xfId="217"/>
    <cellStyle name="40% - Ênfase6 3" xfId="16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Ênfase1 2" xfId="50"/>
    <cellStyle name="60% - Ênfase1 3" xfId="164"/>
    <cellStyle name="60% - Ênfase2 2" xfId="51"/>
    <cellStyle name="60% - Ênfase2 3" xfId="165"/>
    <cellStyle name="60% - Ênfase3 2" xfId="52"/>
    <cellStyle name="60% - Ênfase3 3" xfId="166"/>
    <cellStyle name="60% - Ênfase4 2" xfId="53"/>
    <cellStyle name="60% - Ênfase4 3" xfId="167"/>
    <cellStyle name="60% - Ênfase5 2" xfId="54"/>
    <cellStyle name="60% - Ênfase5 3" xfId="168"/>
    <cellStyle name="60% - Ênfase6 2" xfId="55"/>
    <cellStyle name="60% - Ênfase6 3" xfId="169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om 2" xfId="63"/>
    <cellStyle name="Bom 3" xfId="170"/>
    <cellStyle name="Calculation" xfId="64"/>
    <cellStyle name="Cálculo 2" xfId="65"/>
    <cellStyle name="Cálculo 3" xfId="171"/>
    <cellStyle name="Célula de Verificação 2" xfId="66"/>
    <cellStyle name="Célula de Verificação 3" xfId="172"/>
    <cellStyle name="Célula Vinculada 2" xfId="67"/>
    <cellStyle name="Célula Vinculada 3" xfId="173"/>
    <cellStyle name="Check Cell" xfId="68"/>
    <cellStyle name="Comma" xfId="69"/>
    <cellStyle name="Comma0" xfId="70"/>
    <cellStyle name="Currency" xfId="71"/>
    <cellStyle name="Currency0" xfId="72"/>
    <cellStyle name="Data" xfId="73"/>
    <cellStyle name="Date" xfId="74"/>
    <cellStyle name="Ênfase1 2" xfId="75"/>
    <cellStyle name="Ênfase1 3" xfId="174"/>
    <cellStyle name="Ênfase2 2" xfId="76"/>
    <cellStyle name="Ênfase2 3" xfId="175"/>
    <cellStyle name="Ênfase3 2" xfId="77"/>
    <cellStyle name="Ênfase3 3" xfId="176"/>
    <cellStyle name="Ênfase4 2" xfId="78"/>
    <cellStyle name="Ênfase4 3" xfId="177"/>
    <cellStyle name="Ênfase5 2" xfId="79"/>
    <cellStyle name="Ênfase5 3" xfId="178"/>
    <cellStyle name="Ênfase6 2" xfId="80"/>
    <cellStyle name="Ênfase6 3" xfId="179"/>
    <cellStyle name="Entrada 2" xfId="81"/>
    <cellStyle name="Entrada 3" xfId="180"/>
    <cellStyle name="Euro" xfId="82"/>
    <cellStyle name="Euro 2" xfId="218"/>
    <cellStyle name="Euro 2 2" xfId="219"/>
    <cellStyle name="Euro 3" xfId="220"/>
    <cellStyle name="Euro 3 2" xfId="221"/>
    <cellStyle name="Euro 4" xfId="222"/>
    <cellStyle name="Excel Built-in Normal" xfId="223"/>
    <cellStyle name="Excel Built-in Normal 1" xfId="224"/>
    <cellStyle name="Explanatory Text" xfId="83"/>
    <cellStyle name="Fixed" xfId="84"/>
    <cellStyle name="Fixo" xfId="85"/>
    <cellStyle name="Good" xfId="86"/>
    <cellStyle name="Heading 1" xfId="87"/>
    <cellStyle name="Heading 1 2" xfId="181"/>
    <cellStyle name="Heading 2" xfId="88"/>
    <cellStyle name="Heading 2 2" xfId="182"/>
    <cellStyle name="Heading 3" xfId="89"/>
    <cellStyle name="Heading 4" xfId="90"/>
    <cellStyle name="Incorreto 2" xfId="91"/>
    <cellStyle name="Incorreto 3" xfId="183"/>
    <cellStyle name="Indefinido" xfId="92"/>
    <cellStyle name="Input" xfId="93"/>
    <cellStyle name="KalenderDato" xfId="225"/>
    <cellStyle name="Linked Cell" xfId="94"/>
    <cellStyle name="Moeda" xfId="2" builtinId="4"/>
    <cellStyle name="Moeda 2" xfId="95"/>
    <cellStyle name="Moeda 2 2" xfId="197"/>
    <cellStyle name="Moeda 3" xfId="96"/>
    <cellStyle name="Moeda 3 2" xfId="311"/>
    <cellStyle name="Moeda 3 3" xfId="319"/>
    <cellStyle name="Moeda 4" xfId="13"/>
    <cellStyle name="Moeda 4 2" xfId="317"/>
    <cellStyle name="Moeda 5" xfId="210"/>
    <cellStyle name="Moeda 5 2" xfId="324"/>
    <cellStyle name="Moeda0" xfId="97"/>
    <cellStyle name="Moeda0 2" xfId="226"/>
    <cellStyle name="Neutra 2" xfId="98"/>
    <cellStyle name="Neutra 3" xfId="184"/>
    <cellStyle name="Neutral" xfId="99"/>
    <cellStyle name="Normal" xfId="0" builtinId="0"/>
    <cellStyle name="Normal 10" xfId="12"/>
    <cellStyle name="Normal 10 2" xfId="6"/>
    <cellStyle name="Normal 10 2 2" xfId="227"/>
    <cellStyle name="Normal 10 3" xfId="202"/>
    <cellStyle name="Normal 11" xfId="228"/>
    <cellStyle name="Normal 12" xfId="229"/>
    <cellStyle name="Normal 13" xfId="230"/>
    <cellStyle name="Normal 14" xfId="231"/>
    <cellStyle name="Normal 15" xfId="198"/>
    <cellStyle name="Normal 17" xfId="4"/>
    <cellStyle name="Normal 17 2" xfId="196"/>
    <cellStyle name="Normal 17 2 2" xfId="312"/>
    <cellStyle name="Normal 17 3" xfId="314"/>
    <cellStyle name="Normal 2" xfId="5"/>
    <cellStyle name="Normal 2 2" xfId="10"/>
    <cellStyle name="Normal 2 2 2" xfId="101"/>
    <cellStyle name="Normal 2 2 2 2" xfId="233"/>
    <cellStyle name="Normal 2 2 3" xfId="234"/>
    <cellStyle name="Normal 2 22" xfId="7"/>
    <cellStyle name="Normal 2 22 2" xfId="102"/>
    <cellStyle name="Normal 2 3" xfId="103"/>
    <cellStyle name="Normal 2 3 2" xfId="236"/>
    <cellStyle name="Normal 2 3 3" xfId="235"/>
    <cellStyle name="Normal 2 3 4" xfId="287"/>
    <cellStyle name="Normal 2 4" xfId="100"/>
    <cellStyle name="Normal 2 5" xfId="14"/>
    <cellStyle name="Normal 2 5 2" xfId="313"/>
    <cellStyle name="Normal 2 6" xfId="232"/>
    <cellStyle name="Normal 2_006 BB - Concorrência Registro de Preços - Roteiro 01" xfId="104"/>
    <cellStyle name="Normal 29" xfId="237"/>
    <cellStyle name="Normal 3" xfId="105"/>
    <cellStyle name="Normal 3 2" xfId="106"/>
    <cellStyle name="Normal 3 2 2" xfId="238"/>
    <cellStyle name="Normal 3 3" xfId="107"/>
    <cellStyle name="Normal 3 3 2" xfId="239"/>
    <cellStyle name="Normal 4" xfId="15"/>
    <cellStyle name="Normal 4 2" xfId="108"/>
    <cellStyle name="Normal 4 3" xfId="240"/>
    <cellStyle name="Normal 5" xfId="109"/>
    <cellStyle name="Normal 5 2" xfId="110"/>
    <cellStyle name="Normal 5 3" xfId="243"/>
    <cellStyle name="Normal 5 4" xfId="242"/>
    <cellStyle name="Normal 6" xfId="111"/>
    <cellStyle name="Normal 6 2" xfId="112"/>
    <cellStyle name="Normal 7" xfId="113"/>
    <cellStyle name="Normal 7 2" xfId="114"/>
    <cellStyle name="Normal 8" xfId="115"/>
    <cellStyle name="Normal 9" xfId="11"/>
    <cellStyle name="Normal 9 2" xfId="199"/>
    <cellStyle name="Nota 2" xfId="116"/>
    <cellStyle name="Nota 2 2" xfId="245"/>
    <cellStyle name="Nota 3" xfId="185"/>
    <cellStyle name="Note" xfId="117"/>
    <cellStyle name="Note 2" xfId="186"/>
    <cellStyle name="Output" xfId="118"/>
    <cellStyle name="Percent" xfId="119"/>
    <cellStyle name="Percentual" xfId="120"/>
    <cellStyle name="Ponto" xfId="121"/>
    <cellStyle name="Porcentagem" xfId="3" builtinId="5"/>
    <cellStyle name="Porcentagem 2" xfId="8"/>
    <cellStyle name="Porcentagem 2 2" xfId="123"/>
    <cellStyle name="Porcentagem 2 4" xfId="246"/>
    <cellStyle name="Porcentagem 3" xfId="124"/>
    <cellStyle name="Porcentagem 3 2" xfId="248"/>
    <cellStyle name="Porcentagem 3 3" xfId="247"/>
    <cellStyle name="Porcentagem 4" xfId="122"/>
    <cellStyle name="Porcentagem 5" xfId="16"/>
    <cellStyle name="Porcentagem 5 2" xfId="316"/>
    <cellStyle name="Saída 2" xfId="125"/>
    <cellStyle name="Saída 3" xfId="187"/>
    <cellStyle name="Separador de m" xfId="126"/>
    <cellStyle name="Separador de milhares 10 2" xfId="249"/>
    <cellStyle name="Separador de milhares 10 2 2" xfId="250"/>
    <cellStyle name="Separador de milhares 10 2 2 2" xfId="289"/>
    <cellStyle name="Separador de milhares 10 2 2 2 2" xfId="363"/>
    <cellStyle name="Separador de milhares 10 2 2 3" xfId="329"/>
    <cellStyle name="Separador de milhares 10 2 3" xfId="288"/>
    <cellStyle name="Separador de milhares 10 2 3 2" xfId="362"/>
    <cellStyle name="Separador de milhares 10 2 4" xfId="328"/>
    <cellStyle name="Separador de milhares 14" xfId="251"/>
    <cellStyle name="Separador de milhares 14 2" xfId="290"/>
    <cellStyle name="Separador de milhares 14 2 2" xfId="364"/>
    <cellStyle name="Separador de milhares 14 3" xfId="330"/>
    <cellStyle name="Separador de milhares 2" xfId="127"/>
    <cellStyle name="Separador de milhares 2 10" xfId="128"/>
    <cellStyle name="Separador de milhares 2 10 2" xfId="254"/>
    <cellStyle name="Separador de milhares 2 10 2 2" xfId="292"/>
    <cellStyle name="Separador de milhares 2 10 2 2 2" xfId="366"/>
    <cellStyle name="Separador de milhares 2 10 2 3" xfId="333"/>
    <cellStyle name="Separador de milhares 2 10 3" xfId="253"/>
    <cellStyle name="Separador de milhares 2 10 3 2" xfId="332"/>
    <cellStyle name="Separador de milhares 2 10 4" xfId="291"/>
    <cellStyle name="Separador de milhares 2 10 4 2" xfId="365"/>
    <cellStyle name="Separador de milhares 2 2" xfId="129"/>
    <cellStyle name="Separador de milhares 2 2 2" xfId="256"/>
    <cellStyle name="Separador de milhares 2 2 2 2" xfId="293"/>
    <cellStyle name="Separador de milhares 2 2 2 2 2" xfId="367"/>
    <cellStyle name="Separador de milhares 2 2 2 3" xfId="335"/>
    <cellStyle name="Separador de milhares 2 2 3" xfId="255"/>
    <cellStyle name="Separador de milhares 2 2 3 2" xfId="334"/>
    <cellStyle name="Separador de milhares 2 2 4" xfId="241"/>
    <cellStyle name="Separador de milhares 2 2 4 2" xfId="326"/>
    <cellStyle name="Separador de milhares 2 3" xfId="257"/>
    <cellStyle name="Separador de milhares 2 3 2" xfId="294"/>
    <cellStyle name="Separador de milhares 2 3 2 2" xfId="368"/>
    <cellStyle name="Separador de milhares 2 3 3" xfId="336"/>
    <cellStyle name="Separador de milhares 2 4" xfId="252"/>
    <cellStyle name="Separador de milhares 2 4 2" xfId="331"/>
    <cellStyle name="Separador de milhares 2 5" xfId="200"/>
    <cellStyle name="Separador de milhares 2 5 2" xfId="321"/>
    <cellStyle name="Separador de milhares 2 6" xfId="244"/>
    <cellStyle name="Separador de milhares 2 6 2" xfId="327"/>
    <cellStyle name="Separador de milhares 2_203 Seduc - Reforma da Escola de Afua" xfId="130"/>
    <cellStyle name="Separador de milhares 3" xfId="131"/>
    <cellStyle name="Separador de milhares 3 2" xfId="259"/>
    <cellStyle name="Separador de milhares 3 2 2" xfId="296"/>
    <cellStyle name="Separador de milhares 3 2 2 2" xfId="370"/>
    <cellStyle name="Separador de milhares 3 2 3" xfId="338"/>
    <cellStyle name="Separador de milhares 3 3" xfId="258"/>
    <cellStyle name="Separador de milhares 3 3 2" xfId="337"/>
    <cellStyle name="Separador de milhares 3 4" xfId="295"/>
    <cellStyle name="Separador de milhares 3 4 2" xfId="369"/>
    <cellStyle name="Separador de milhares 30" xfId="260"/>
    <cellStyle name="Separador de milhares 30 2" xfId="297"/>
    <cellStyle name="Separador de milhares 30 2 2" xfId="371"/>
    <cellStyle name="Separador de milhares 30 3" xfId="339"/>
    <cellStyle name="Separador de milhares 4" xfId="132"/>
    <cellStyle name="Separador de milhares 4 2" xfId="262"/>
    <cellStyle name="Separador de milhares 4 2 2" xfId="299"/>
    <cellStyle name="Separador de milhares 4 2 2 2" xfId="373"/>
    <cellStyle name="Separador de milhares 4 2 3" xfId="341"/>
    <cellStyle name="Separador de milhares 4 3" xfId="261"/>
    <cellStyle name="Separador de milhares 4 3 2" xfId="340"/>
    <cellStyle name="Separador de milhares 4 4" xfId="298"/>
    <cellStyle name="Separador de milhares 4 4 2" xfId="372"/>
    <cellStyle name="Separador de milhares 6" xfId="263"/>
    <cellStyle name="Separador de milhares 6 2" xfId="300"/>
    <cellStyle name="Separador de milhares 6 2 2" xfId="374"/>
    <cellStyle name="Separador de milhares 6 3" xfId="342"/>
    <cellStyle name="Separador de milhares 7" xfId="264"/>
    <cellStyle name="Separador de milhares 7 2" xfId="301"/>
    <cellStyle name="Separador de milhares 7 2 2" xfId="375"/>
    <cellStyle name="Separador de milhares 7 3" xfId="343"/>
    <cellStyle name="Separador de milhares 9" xfId="265"/>
    <cellStyle name="Separador de milhares 9 2" xfId="344"/>
    <cellStyle name="SUB" xfId="133"/>
    <cellStyle name="TableStyleLight1" xfId="266"/>
    <cellStyle name="Texto de Aviso 2" xfId="134"/>
    <cellStyle name="Texto de Aviso 3" xfId="188"/>
    <cellStyle name="Texto Explicativo 2" xfId="135"/>
    <cellStyle name="Texto Explicativo 3" xfId="189"/>
    <cellStyle name="Title" xfId="136"/>
    <cellStyle name="Título 1 1" xfId="137"/>
    <cellStyle name="Título 1 2" xfId="138"/>
    <cellStyle name="Título 1 3" xfId="191"/>
    <cellStyle name="Título 2 2" xfId="139"/>
    <cellStyle name="Título 2 3" xfId="192"/>
    <cellStyle name="Título 3 2" xfId="140"/>
    <cellStyle name="Título 3 3" xfId="193"/>
    <cellStyle name="Título 4 2" xfId="141"/>
    <cellStyle name="Título 4 3" xfId="194"/>
    <cellStyle name="Título 5" xfId="142"/>
    <cellStyle name="Título 6" xfId="190"/>
    <cellStyle name="Titulo1" xfId="143"/>
    <cellStyle name="Titulo2" xfId="144"/>
    <cellStyle name="Total 2" xfId="145"/>
    <cellStyle name="Total 3" xfId="195"/>
    <cellStyle name="Vírgula" xfId="1" builtinId="3"/>
    <cellStyle name="Vírgula 10" xfId="267"/>
    <cellStyle name="Vírgula 10 2" xfId="345"/>
    <cellStyle name="Vírgula 10 2 2 2" xfId="268"/>
    <cellStyle name="Vírgula 10 2 2 2 2" xfId="269"/>
    <cellStyle name="Vírgula 10 2 2 2 2 2" xfId="347"/>
    <cellStyle name="Vírgula 10 2 2 2 3" xfId="346"/>
    <cellStyle name="Vírgula 2" xfId="147"/>
    <cellStyle name="Vírgula 2 2" xfId="148"/>
    <cellStyle name="Vírgula 2 2 2" xfId="272"/>
    <cellStyle name="Vírgula 2 2 2 2" xfId="273"/>
    <cellStyle name="Vírgula 2 2 2 2 2" xfId="203"/>
    <cellStyle name="Vírgula 2 2 2 2 2 2" xfId="274"/>
    <cellStyle name="Vírgula 2 2 2 2 2 2 2" xfId="351"/>
    <cellStyle name="Vírgula 2 2 2 2 2 3" xfId="304"/>
    <cellStyle name="Vírgula 2 2 2 2 2 3 2" xfId="378"/>
    <cellStyle name="Vírgula 2 2 2 2 2 4" xfId="323"/>
    <cellStyle name="Vírgula 2 2 2 2 3" xfId="350"/>
    <cellStyle name="Vírgula 2 2 3" xfId="271"/>
    <cellStyle name="Vírgula 2 2 3 2" xfId="349"/>
    <cellStyle name="Vírgula 2 2 4" xfId="303"/>
    <cellStyle name="Vírgula 2 2 4 2" xfId="377"/>
    <cellStyle name="Vírgula 2 3" xfId="275"/>
    <cellStyle name="Vírgula 2 3 2" xfId="305"/>
    <cellStyle name="Vírgula 2 3 2 2" xfId="379"/>
    <cellStyle name="Vírgula 2 3 3" xfId="352"/>
    <cellStyle name="Vírgula 2 4" xfId="276"/>
    <cellStyle name="Vírgula 2 5" xfId="270"/>
    <cellStyle name="Vírgula 2 5 2" xfId="348"/>
    <cellStyle name="Vírgula 2 6" xfId="302"/>
    <cellStyle name="Vírgula 2 6 2" xfId="376"/>
    <cellStyle name="Vírgula 3" xfId="149"/>
    <cellStyle name="Vírgula 3 2" xfId="278"/>
    <cellStyle name="Vírgula 3 2 2" xfId="307"/>
    <cellStyle name="Vírgula 3 2 2 2" xfId="381"/>
    <cellStyle name="Vírgula 3 2 3" xfId="354"/>
    <cellStyle name="Vírgula 3 3" xfId="277"/>
    <cellStyle name="Vírgula 3 3 2" xfId="353"/>
    <cellStyle name="Vírgula 3 4" xfId="306"/>
    <cellStyle name="Vírgula 3 4 2" xfId="380"/>
    <cellStyle name="Vírgula 4" xfId="9"/>
    <cellStyle name="Vírgula 4 2" xfId="146"/>
    <cellStyle name="Vírgula 4 2 2" xfId="320"/>
    <cellStyle name="Vírgula 4 3" xfId="279"/>
    <cellStyle name="Vírgula 4 3 2" xfId="355"/>
    <cellStyle name="Vírgula 4 4" xfId="308"/>
    <cellStyle name="Vírgula 4 4 2" xfId="382"/>
    <cellStyle name="Vírgula 5" xfId="17"/>
    <cellStyle name="Vírgula 5 2" xfId="281"/>
    <cellStyle name="Vírgula 5 2 2" xfId="357"/>
    <cellStyle name="Vírgula 5 3" xfId="280"/>
    <cellStyle name="Vírgula 5 3 2" xfId="356"/>
    <cellStyle name="Vírgula 5 4" xfId="309"/>
    <cellStyle name="Vírgula 5 4 2" xfId="383"/>
    <cellStyle name="Vírgula 5 5" xfId="315"/>
    <cellStyle name="Vírgula 5 5 2" xfId="385"/>
    <cellStyle name="Vírgula 5 6" xfId="318"/>
    <cellStyle name="Vírgula 6" xfId="282"/>
    <cellStyle name="Vírgula 6 2" xfId="386"/>
    <cellStyle name="Vírgula 6 3" xfId="358"/>
    <cellStyle name="Vírgula 7" xfId="201"/>
    <cellStyle name="Vírgula 7 2" xfId="322"/>
    <cellStyle name="Vírgula 8" xfId="216"/>
    <cellStyle name="Vírgula 8 2" xfId="325"/>
    <cellStyle name="Vírgula 8 2 2" xfId="283"/>
    <cellStyle name="Vírgula 8 2 2 2" xfId="359"/>
    <cellStyle name="Vírgula 9 2" xfId="284"/>
    <cellStyle name="Vírgula 9 2 2" xfId="285"/>
    <cellStyle name="Vírgula 9 2 2 2" xfId="361"/>
    <cellStyle name="Vírgula 9 2 3" xfId="310"/>
    <cellStyle name="Vírgula 9 2 3 2" xfId="384"/>
    <cellStyle name="Vírgula 9 2 4" xfId="360"/>
    <cellStyle name="Vírgula0" xfId="150"/>
    <cellStyle name="Vírgula0 2" xfId="286"/>
    <cellStyle name="Warning Text" xfId="151"/>
  </cellStyles>
  <dxfs count="0"/>
  <tableStyles count="0" defaultTableStyle="TableStyleMedium2" defaultPivotStyle="PivotStyleLight16"/>
  <colors>
    <mruColors>
      <color rgb="FFF82D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417635</xdr:colOff>
      <xdr:row>22</xdr:row>
      <xdr:rowOff>151766</xdr:rowOff>
    </xdr:from>
    <xdr:to>
      <xdr:col>7</xdr:col>
      <xdr:colOff>77420</xdr:colOff>
      <xdr:row>22</xdr:row>
      <xdr:rowOff>570855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835" y="3683470"/>
          <a:ext cx="2098185" cy="419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14281</xdr:colOff>
      <xdr:row>27</xdr:row>
      <xdr:rowOff>266663</xdr:rowOff>
    </xdr:from>
    <xdr:to>
      <xdr:col>19</xdr:col>
      <xdr:colOff>90196</xdr:colOff>
      <xdr:row>31</xdr:row>
      <xdr:rowOff>161040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10281" y="6336159"/>
          <a:ext cx="4953350" cy="1791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96121</xdr:colOff>
      <xdr:row>3</xdr:row>
      <xdr:rowOff>182356</xdr:rowOff>
    </xdr:from>
    <xdr:to>
      <xdr:col>19</xdr:col>
      <xdr:colOff>53404</xdr:colOff>
      <xdr:row>26</xdr:row>
      <xdr:rowOff>170089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2121" y="758826"/>
          <a:ext cx="4831543" cy="5362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160735</xdr:colOff>
      <xdr:row>0</xdr:row>
      <xdr:rowOff>57150</xdr:rowOff>
    </xdr:from>
    <xdr:to>
      <xdr:col>11</xdr:col>
      <xdr:colOff>1266825</xdr:colOff>
      <xdr:row>3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99810" y="57150"/>
          <a:ext cx="110609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rquivos\GUSTAVO%20FELIPE_%20DIFIS\ASFALTO%20POR%20TODO%20PARA%202\PIRTUC%20E%20PIRJUS\GUSTAVO%20PROJETOS\PROJETOS\CONVENIOS\PM_SAO%20MIGUEL%20DO%20GUAMA\2018\123%20-%20PAV.%20MEIO-FIO%20E%20CAL&#199;.%20R$%201.014.564,52%20-%20CV%208458292017%20-%20CAIXA\OR&#199;AMENTO\OR&#199;AMENTO.xls?0C2E17AA" TargetMode="External"/><Relationship Id="rId1" Type="http://schemas.openxmlformats.org/officeDocument/2006/relationships/externalLinkPath" Target="file:///\\0C2E17AA\OR&#199;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Planilha1"/>
      <sheetName val="EVENTOS"/>
      <sheetName val="CRONO"/>
      <sheetName val="CRONOPLE"/>
      <sheetName val="PLE"/>
      <sheetName val="QCI"/>
      <sheetName val="BM"/>
      <sheetName val="RRE"/>
      <sheetName val="OFÍCIO"/>
      <sheetName val="ADM LOCAL"/>
      <sheetName val=" DADOS DA OBRA"/>
      <sheetName val="SERVIÇOS PRELIMINARES"/>
      <sheetName val="TERRA PLANAGEM"/>
      <sheetName val="REV. PRIMARIO"/>
      <sheetName val="PAV."/>
      <sheetName val="MOBILIZAÇAO"/>
      <sheetName val="SINALIZAÇÃO"/>
      <sheetName val="CALÇAD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25"/>
  <sheetViews>
    <sheetView view="pageBreakPreview" zoomScale="70" zoomScaleNormal="100" zoomScaleSheetLayoutView="70" workbookViewId="0">
      <selection activeCell="E100" sqref="E100"/>
    </sheetView>
  </sheetViews>
  <sheetFormatPr defaultColWidth="8.85546875" defaultRowHeight="15" x14ac:dyDescent="0.25"/>
  <cols>
    <col min="1" max="1" width="11.85546875" style="8" customWidth="1"/>
    <col min="2" max="2" width="9.5703125" style="8" customWidth="1"/>
    <col min="3" max="3" width="11.7109375" style="8" customWidth="1"/>
    <col min="4" max="4" width="59.7109375" style="8" customWidth="1"/>
    <col min="5" max="5" width="9.5703125" style="8" customWidth="1"/>
    <col min="6" max="6" width="14.28515625" style="162" customWidth="1"/>
    <col min="7" max="7" width="17.28515625" style="26" customWidth="1"/>
    <col min="8" max="8" width="18.140625" style="8" customWidth="1"/>
    <col min="9" max="9" width="24.140625" style="8" customWidth="1"/>
    <col min="10" max="10" width="22.42578125" style="8" customWidth="1"/>
    <col min="11" max="11" width="25" style="292" bestFit="1" customWidth="1"/>
    <col min="12" max="12" width="19.85546875" style="292" customWidth="1"/>
    <col min="13" max="13" width="10.5703125" style="8" bestFit="1" customWidth="1"/>
    <col min="14" max="14" width="12.7109375" style="8" bestFit="1" customWidth="1"/>
    <col min="15" max="16" width="14.42578125" style="8" bestFit="1" customWidth="1"/>
    <col min="17" max="16384" width="8.85546875" style="8"/>
  </cols>
  <sheetData>
    <row r="1" spans="1:13" ht="15.75" x14ac:dyDescent="0.25">
      <c r="A1" s="227"/>
      <c r="B1" s="224"/>
      <c r="C1" s="226"/>
      <c r="D1" s="226"/>
      <c r="E1" s="226"/>
      <c r="F1" s="342"/>
      <c r="G1" s="226"/>
      <c r="H1" s="225"/>
      <c r="I1" s="227"/>
    </row>
    <row r="2" spans="1:13" ht="18.75" customHeight="1" x14ac:dyDescent="0.25">
      <c r="A2" s="506"/>
      <c r="B2" s="506"/>
      <c r="C2" s="506"/>
      <c r="D2" s="506"/>
      <c r="E2" s="506"/>
      <c r="F2" s="506"/>
      <c r="G2" s="506"/>
      <c r="H2" s="506"/>
      <c r="I2" s="506"/>
    </row>
    <row r="3" spans="1:13" ht="18.75" customHeight="1" x14ac:dyDescent="0.25">
      <c r="A3" s="506"/>
      <c r="B3" s="506"/>
      <c r="C3" s="506"/>
      <c r="D3" s="506"/>
      <c r="E3" s="506"/>
      <c r="F3" s="506"/>
      <c r="G3" s="506"/>
      <c r="H3" s="506"/>
      <c r="I3" s="506"/>
    </row>
    <row r="4" spans="1:13" ht="18.75" customHeight="1" x14ac:dyDescent="0.25">
      <c r="A4" s="507"/>
      <c r="B4" s="507"/>
      <c r="C4" s="507"/>
      <c r="D4" s="507"/>
      <c r="E4" s="507"/>
      <c r="F4" s="507"/>
      <c r="G4" s="507"/>
      <c r="H4" s="507"/>
      <c r="I4" s="507"/>
    </row>
    <row r="5" spans="1:13" ht="39" customHeight="1" x14ac:dyDescent="0.25">
      <c r="A5" s="508" t="s">
        <v>316</v>
      </c>
      <c r="B5" s="508"/>
      <c r="C5" s="508"/>
      <c r="D5" s="508"/>
      <c r="E5" s="508"/>
      <c r="F5" s="508"/>
      <c r="G5" s="508"/>
      <c r="H5" s="508"/>
      <c r="I5" s="508"/>
    </row>
    <row r="6" spans="1:13" ht="4.5" customHeight="1" thickBot="1" x14ac:dyDescent="0.3">
      <c r="G6" s="162"/>
    </row>
    <row r="7" spans="1:13" x14ac:dyDescent="0.25">
      <c r="A7" s="511" t="s">
        <v>168</v>
      </c>
      <c r="B7" s="512"/>
      <c r="C7" s="512"/>
      <c r="D7" s="512"/>
      <c r="E7" s="512"/>
      <c r="F7" s="512"/>
      <c r="G7" s="520">
        <f>'B.D.I  DESONERADO'!J23</f>
        <v>0.26138499198209297</v>
      </c>
      <c r="H7" s="517" t="s">
        <v>173</v>
      </c>
      <c r="I7" s="283" t="s">
        <v>326</v>
      </c>
    </row>
    <row r="8" spans="1:13" x14ac:dyDescent="0.25">
      <c r="A8" s="513"/>
      <c r="B8" s="514"/>
      <c r="C8" s="514"/>
      <c r="D8" s="514"/>
      <c r="E8" s="514"/>
      <c r="F8" s="514"/>
      <c r="G8" s="521"/>
      <c r="H8" s="518"/>
      <c r="I8" s="285" t="s">
        <v>327</v>
      </c>
    </row>
    <row r="9" spans="1:13" ht="18.75" thickBot="1" x14ac:dyDescent="0.3">
      <c r="A9" s="515"/>
      <c r="B9" s="516"/>
      <c r="C9" s="516"/>
      <c r="D9" s="516"/>
      <c r="E9" s="516"/>
      <c r="F9" s="516"/>
      <c r="G9" s="522"/>
      <c r="H9" s="519"/>
      <c r="I9" s="456" t="s">
        <v>302</v>
      </c>
      <c r="J9" s="152"/>
      <c r="K9" s="293">
        <f>'B.D.I  DESONERADO'!J23+1</f>
        <v>1.261384991982093</v>
      </c>
      <c r="L9" s="293"/>
    </row>
    <row r="10" spans="1:13" ht="6" customHeight="1" thickBot="1" x14ac:dyDescent="0.3">
      <c r="A10" s="433"/>
      <c r="B10" s="434"/>
      <c r="C10" s="434"/>
      <c r="D10" s="434"/>
      <c r="E10" s="434"/>
      <c r="F10" s="435"/>
      <c r="G10" s="435"/>
      <c r="H10" s="434"/>
      <c r="I10" s="436"/>
    </row>
    <row r="11" spans="1:13" ht="38.450000000000003" customHeight="1" thickBot="1" x14ac:dyDescent="0.3">
      <c r="A11" s="103" t="s">
        <v>26</v>
      </c>
      <c r="B11" s="104" t="s">
        <v>63</v>
      </c>
      <c r="C11" s="104" t="s">
        <v>27</v>
      </c>
      <c r="D11" s="104" t="s">
        <v>28</v>
      </c>
      <c r="E11" s="105" t="s">
        <v>29</v>
      </c>
      <c r="F11" s="104" t="s">
        <v>30</v>
      </c>
      <c r="G11" s="104" t="str">
        <f>IF(TIPOORCAMENTO="Licitado","","Custo Unitário (sem BDI) (R$)")</f>
        <v>Custo Unitário (sem BDI) (R$)</v>
      </c>
      <c r="H11" s="104" t="s">
        <v>31</v>
      </c>
      <c r="I11" s="106" t="s">
        <v>32</v>
      </c>
      <c r="J11" s="155"/>
    </row>
    <row r="12" spans="1:13" s="27" customFormat="1" x14ac:dyDescent="0.25">
      <c r="A12" s="261"/>
      <c r="B12" s="262">
        <v>1</v>
      </c>
      <c r="C12" s="263"/>
      <c r="D12" s="264" t="s">
        <v>17</v>
      </c>
      <c r="E12" s="265"/>
      <c r="F12" s="263"/>
      <c r="G12" s="266"/>
      <c r="H12" s="267"/>
      <c r="I12" s="268"/>
      <c r="J12" s="156"/>
      <c r="K12" s="294"/>
      <c r="L12" s="294"/>
      <c r="M12" s="45"/>
    </row>
    <row r="13" spans="1:13" ht="27" customHeight="1" thickBot="1" x14ac:dyDescent="0.3">
      <c r="A13" s="67" t="s">
        <v>118</v>
      </c>
      <c r="B13" s="28" t="s">
        <v>48</v>
      </c>
      <c r="C13" s="9" t="s">
        <v>23</v>
      </c>
      <c r="D13" s="10" t="s">
        <v>181</v>
      </c>
      <c r="E13" s="11" t="s">
        <v>35</v>
      </c>
      <c r="F13" s="149">
        <v>1</v>
      </c>
      <c r="G13" s="25">
        <f>'1.ADM. LOCAL'!I14</f>
        <v>37085.839999999997</v>
      </c>
      <c r="H13" s="24">
        <f>ROUND((G13*$K$9),2)</f>
        <v>46779.519999999997</v>
      </c>
      <c r="I13" s="68">
        <f>ROUND((H13*F13),2)</f>
        <v>46779.519999999997</v>
      </c>
      <c r="J13" s="290"/>
      <c r="K13" s="425"/>
      <c r="L13" s="295"/>
    </row>
    <row r="14" spans="1:13" ht="15.75" customHeight="1" thickBot="1" x14ac:dyDescent="0.3">
      <c r="A14" s="269"/>
      <c r="B14" s="270"/>
      <c r="C14" s="270"/>
      <c r="D14" s="270"/>
      <c r="E14" s="270"/>
      <c r="F14" s="343"/>
      <c r="G14" s="270"/>
      <c r="H14" s="271" t="s">
        <v>161</v>
      </c>
      <c r="I14" s="272">
        <f>SUM(I13:I13)</f>
        <v>46779.519999999997</v>
      </c>
      <c r="J14" s="158"/>
      <c r="K14" s="425"/>
      <c r="L14" s="296"/>
    </row>
    <row r="15" spans="1:13" ht="4.5" customHeight="1" thickBot="1" x14ac:dyDescent="0.3">
      <c r="A15" s="70"/>
      <c r="B15" s="62"/>
      <c r="C15" s="62"/>
      <c r="D15" s="62"/>
      <c r="E15" s="62"/>
      <c r="F15" s="344"/>
      <c r="G15" s="62"/>
      <c r="H15" s="62"/>
      <c r="I15" s="71"/>
      <c r="J15" s="158"/>
      <c r="K15" s="425"/>
    </row>
    <row r="16" spans="1:13" s="27" customFormat="1" x14ac:dyDescent="0.25">
      <c r="A16" s="261"/>
      <c r="B16" s="262" t="s">
        <v>49</v>
      </c>
      <c r="C16" s="263"/>
      <c r="D16" s="264" t="s">
        <v>21</v>
      </c>
      <c r="E16" s="265"/>
      <c r="F16" s="263"/>
      <c r="G16" s="266"/>
      <c r="H16" s="267"/>
      <c r="I16" s="268"/>
      <c r="J16" s="156"/>
      <c r="K16" s="425"/>
      <c r="L16" s="295"/>
    </row>
    <row r="17" spans="1:16" ht="27" customHeight="1" x14ac:dyDescent="0.25">
      <c r="A17" s="67" t="s">
        <v>144</v>
      </c>
      <c r="B17" s="28" t="s">
        <v>50</v>
      </c>
      <c r="C17" s="9" t="s">
        <v>169</v>
      </c>
      <c r="D17" s="10" t="s">
        <v>170</v>
      </c>
      <c r="E17" s="11" t="s">
        <v>33</v>
      </c>
      <c r="F17" s="149">
        <f>'2.SER.PREL.'!D14</f>
        <v>24</v>
      </c>
      <c r="G17" s="25">
        <v>174.54</v>
      </c>
      <c r="H17" s="24">
        <f>ROUND((G17*$K$9),2)</f>
        <v>220.16</v>
      </c>
      <c r="I17" s="68">
        <f>ROUND((H17*F17),2)</f>
        <v>5283.84</v>
      </c>
      <c r="J17" s="290"/>
      <c r="K17" s="425"/>
      <c r="L17" s="295"/>
    </row>
    <row r="18" spans="1:16" ht="25.5" x14ac:dyDescent="0.25">
      <c r="A18" s="69" t="s">
        <v>20</v>
      </c>
      <c r="B18" s="28" t="s">
        <v>51</v>
      </c>
      <c r="C18" s="9" t="s">
        <v>304</v>
      </c>
      <c r="D18" s="10" t="s">
        <v>305</v>
      </c>
      <c r="E18" s="11" t="s">
        <v>33</v>
      </c>
      <c r="F18" s="149">
        <f>'2.SER.PREL.'!D22</f>
        <v>16</v>
      </c>
      <c r="G18" s="25">
        <v>748.53</v>
      </c>
      <c r="H18" s="24">
        <v>820.4</v>
      </c>
      <c r="I18" s="68">
        <f>ROUND((H18*F18),2)</f>
        <v>13126.4</v>
      </c>
      <c r="J18" s="157"/>
      <c r="K18" s="425"/>
      <c r="L18" s="296"/>
    </row>
    <row r="19" spans="1:16" ht="27" customHeight="1" thickBot="1" x14ac:dyDescent="0.3">
      <c r="A19" s="69" t="s">
        <v>20</v>
      </c>
      <c r="B19" s="63" t="s">
        <v>52</v>
      </c>
      <c r="C19" s="64" t="s">
        <v>145</v>
      </c>
      <c r="D19" s="117" t="s">
        <v>146</v>
      </c>
      <c r="E19" s="66" t="s">
        <v>142</v>
      </c>
      <c r="F19" s="149">
        <f>'DADOS DA OBRA'!E13</f>
        <v>2000</v>
      </c>
      <c r="G19" s="318">
        <v>0.3</v>
      </c>
      <c r="H19" s="24">
        <f>ROUND((G19*$K$9),2)</f>
        <v>0.38</v>
      </c>
      <c r="I19" s="68">
        <f>ROUND((H19*F19),2)</f>
        <v>760</v>
      </c>
      <c r="J19" s="157"/>
      <c r="K19" s="425"/>
    </row>
    <row r="20" spans="1:16" ht="15.75" customHeight="1" thickBot="1" x14ac:dyDescent="0.3">
      <c r="A20" s="269"/>
      <c r="B20" s="270"/>
      <c r="C20" s="270"/>
      <c r="D20" s="270"/>
      <c r="E20" s="270"/>
      <c r="F20" s="343"/>
      <c r="G20" s="270"/>
      <c r="H20" s="271" t="s">
        <v>162</v>
      </c>
      <c r="I20" s="272">
        <f>SUM(I17:I19)</f>
        <v>19170.239999999998</v>
      </c>
      <c r="J20" s="158"/>
      <c r="K20" s="425"/>
      <c r="L20" s="296"/>
    </row>
    <row r="21" spans="1:16" ht="4.5" customHeight="1" thickBot="1" x14ac:dyDescent="0.3">
      <c r="A21" s="70"/>
      <c r="B21" s="62"/>
      <c r="C21" s="62"/>
      <c r="D21" s="62"/>
      <c r="E21" s="62"/>
      <c r="F21" s="344"/>
      <c r="G21" s="62"/>
      <c r="H21" s="62"/>
      <c r="I21" s="71"/>
      <c r="J21" s="158"/>
      <c r="K21" s="425"/>
    </row>
    <row r="22" spans="1:16" s="27" customFormat="1" x14ac:dyDescent="0.25">
      <c r="A22" s="261"/>
      <c r="B22" s="262" t="s">
        <v>53</v>
      </c>
      <c r="C22" s="263"/>
      <c r="D22" s="264" t="s">
        <v>167</v>
      </c>
      <c r="E22" s="265"/>
      <c r="F22" s="263"/>
      <c r="G22" s="266"/>
      <c r="H22" s="267"/>
      <c r="I22" s="268"/>
      <c r="J22" s="156"/>
      <c r="K22" s="425"/>
      <c r="L22" s="294"/>
    </row>
    <row r="23" spans="1:16" ht="18.75" customHeight="1" thickBot="1" x14ac:dyDescent="0.3">
      <c r="A23" s="69" t="s">
        <v>144</v>
      </c>
      <c r="B23" s="64" t="s">
        <v>54</v>
      </c>
      <c r="C23" s="64" t="s">
        <v>370</v>
      </c>
      <c r="D23" s="65" t="s">
        <v>182</v>
      </c>
      <c r="E23" s="66" t="s">
        <v>35</v>
      </c>
      <c r="F23" s="303">
        <v>1</v>
      </c>
      <c r="G23" s="318">
        <v>11500</v>
      </c>
      <c r="H23" s="288">
        <f>ROUND((G23*$K$9),2)</f>
        <v>14505.93</v>
      </c>
      <c r="I23" s="437">
        <f>H23*F23</f>
        <v>14505.93</v>
      </c>
      <c r="J23" s="157"/>
      <c r="K23" s="503">
        <f>I23/I101</f>
        <v>5.119248793021695E-3</v>
      </c>
      <c r="N23" s="186"/>
      <c r="O23" s="291"/>
      <c r="P23" s="291"/>
    </row>
    <row r="24" spans="1:16" ht="15.75" customHeight="1" thickBot="1" x14ac:dyDescent="0.3">
      <c r="A24" s="269"/>
      <c r="B24" s="270"/>
      <c r="C24" s="270"/>
      <c r="D24" s="270"/>
      <c r="E24" s="270"/>
      <c r="F24" s="343"/>
      <c r="G24" s="270"/>
      <c r="H24" s="271" t="s">
        <v>163</v>
      </c>
      <c r="I24" s="272">
        <f>SUM(I23:I23)</f>
        <v>14505.93</v>
      </c>
      <c r="J24" s="158"/>
      <c r="K24" s="425"/>
      <c r="L24" s="296"/>
    </row>
    <row r="25" spans="1:16" ht="4.5" customHeight="1" thickBot="1" x14ac:dyDescent="0.3">
      <c r="A25" s="70"/>
      <c r="B25" s="62"/>
      <c r="C25" s="62"/>
      <c r="D25" s="62"/>
      <c r="E25" s="62"/>
      <c r="F25" s="344"/>
      <c r="G25" s="62"/>
      <c r="H25" s="62"/>
      <c r="I25" s="71"/>
      <c r="J25" s="158"/>
      <c r="K25" s="425"/>
    </row>
    <row r="26" spans="1:16" s="27" customFormat="1" x14ac:dyDescent="0.25">
      <c r="A26" s="261"/>
      <c r="B26" s="262">
        <v>4</v>
      </c>
      <c r="C26" s="263"/>
      <c r="D26" s="264" t="s">
        <v>320</v>
      </c>
      <c r="E26" s="265"/>
      <c r="F26" s="263"/>
      <c r="G26" s="266"/>
      <c r="H26" s="267"/>
      <c r="I26" s="268"/>
      <c r="J26" s="159"/>
      <c r="K26" s="425"/>
      <c r="L26" s="294"/>
    </row>
    <row r="27" spans="1:16" s="201" customFormat="1" ht="14.85" customHeight="1" x14ac:dyDescent="0.25">
      <c r="A27" s="438"/>
      <c r="B27" s="273" t="s">
        <v>340</v>
      </c>
      <c r="C27" s="274"/>
      <c r="D27" s="274" t="s">
        <v>321</v>
      </c>
      <c r="E27" s="274"/>
      <c r="F27" s="273"/>
      <c r="G27" s="274"/>
      <c r="H27" s="274"/>
      <c r="I27" s="439"/>
      <c r="J27" s="200"/>
      <c r="K27" s="425"/>
      <c r="L27" s="297"/>
    </row>
    <row r="28" spans="1:16" s="27" customFormat="1" ht="38.25" x14ac:dyDescent="0.25">
      <c r="A28" s="204" t="s">
        <v>20</v>
      </c>
      <c r="B28" s="205" t="s">
        <v>341</v>
      </c>
      <c r="C28" s="206" t="s">
        <v>137</v>
      </c>
      <c r="D28" s="203" t="s">
        <v>328</v>
      </c>
      <c r="E28" s="207" t="s">
        <v>329</v>
      </c>
      <c r="F28" s="149">
        <f>MEMORIA!C135</f>
        <v>14000</v>
      </c>
      <c r="G28" s="208">
        <v>0.32</v>
      </c>
      <c r="H28" s="209">
        <f t="shared" ref="H28:H32" si="0">ROUND((G28*$K$9),2)</f>
        <v>0.4</v>
      </c>
      <c r="I28" s="210">
        <f t="shared" ref="I28:I32" si="1">ROUND((H28*F28),2)</f>
        <v>5600</v>
      </c>
      <c r="J28" s="289"/>
      <c r="K28" s="425"/>
      <c r="L28" s="294"/>
    </row>
    <row r="29" spans="1:16" s="27" customFormat="1" ht="54" customHeight="1" x14ac:dyDescent="0.25">
      <c r="A29" s="67" t="s">
        <v>20</v>
      </c>
      <c r="B29" s="205" t="s">
        <v>342</v>
      </c>
      <c r="C29" s="9" t="s">
        <v>331</v>
      </c>
      <c r="D29" s="187" t="s">
        <v>330</v>
      </c>
      <c r="E29" s="188" t="s">
        <v>329</v>
      </c>
      <c r="F29" s="149">
        <f>MEMORIA!C145</f>
        <v>12000</v>
      </c>
      <c r="G29" s="25">
        <v>1.02</v>
      </c>
      <c r="H29" s="24">
        <f t="shared" si="0"/>
        <v>1.29</v>
      </c>
      <c r="I29" s="68">
        <f t="shared" si="1"/>
        <v>15480</v>
      </c>
      <c r="J29" s="159"/>
      <c r="K29" s="425"/>
      <c r="L29" s="294"/>
    </row>
    <row r="30" spans="1:16" s="27" customFormat="1" ht="45" customHeight="1" x14ac:dyDescent="0.25">
      <c r="A30" s="67" t="s">
        <v>20</v>
      </c>
      <c r="B30" s="205" t="s">
        <v>343</v>
      </c>
      <c r="C30" s="9" t="s">
        <v>332</v>
      </c>
      <c r="D30" s="187" t="s">
        <v>333</v>
      </c>
      <c r="E30" s="188" t="s">
        <v>334</v>
      </c>
      <c r="F30" s="149">
        <f>MEMORIA!C153</f>
        <v>6000</v>
      </c>
      <c r="G30" s="25">
        <v>11.41</v>
      </c>
      <c r="H30" s="24">
        <f t="shared" si="0"/>
        <v>14.39</v>
      </c>
      <c r="I30" s="68">
        <f>ROUND((H30*F30),2)</f>
        <v>86340</v>
      </c>
      <c r="J30" s="159"/>
      <c r="K30" s="425"/>
      <c r="L30" s="294"/>
    </row>
    <row r="31" spans="1:16" ht="25.5" x14ac:dyDescent="0.25">
      <c r="A31" s="67" t="s">
        <v>20</v>
      </c>
      <c r="B31" s="205" t="s">
        <v>344</v>
      </c>
      <c r="C31" s="206" t="s">
        <v>335</v>
      </c>
      <c r="D31" s="203" t="s">
        <v>336</v>
      </c>
      <c r="E31" s="11" t="s">
        <v>337</v>
      </c>
      <c r="F31" s="149">
        <f>MEMORIA!C161</f>
        <v>75000</v>
      </c>
      <c r="G31" s="208">
        <v>3.21</v>
      </c>
      <c r="H31" s="24">
        <f t="shared" si="0"/>
        <v>4.05</v>
      </c>
      <c r="I31" s="68">
        <f>ROUND((H31*F31),2)</f>
        <v>303750</v>
      </c>
      <c r="J31" s="157"/>
      <c r="K31" s="425"/>
    </row>
    <row r="32" spans="1:16" ht="54" customHeight="1" thickBot="1" x14ac:dyDescent="0.3">
      <c r="A32" s="67" t="s">
        <v>20</v>
      </c>
      <c r="B32" s="205" t="s">
        <v>345</v>
      </c>
      <c r="C32" s="9" t="s">
        <v>338</v>
      </c>
      <c r="D32" s="10" t="s">
        <v>339</v>
      </c>
      <c r="E32" s="188" t="s">
        <v>334</v>
      </c>
      <c r="F32" s="149">
        <f>MEMORIA!C168</f>
        <v>7000</v>
      </c>
      <c r="G32" s="25">
        <v>10.23</v>
      </c>
      <c r="H32" s="24">
        <f t="shared" si="0"/>
        <v>12.9</v>
      </c>
      <c r="I32" s="68">
        <f t="shared" si="1"/>
        <v>90300</v>
      </c>
      <c r="J32" s="157"/>
      <c r="K32" s="425"/>
      <c r="L32" s="298"/>
    </row>
    <row r="33" spans="1:12" s="27" customFormat="1" ht="15.75" thickBot="1" x14ac:dyDescent="0.3">
      <c r="A33" s="269"/>
      <c r="B33" s="270"/>
      <c r="C33" s="270"/>
      <c r="D33" s="270"/>
      <c r="E33" s="270"/>
      <c r="F33" s="343"/>
      <c r="G33" s="270"/>
      <c r="H33" s="271" t="s">
        <v>164</v>
      </c>
      <c r="I33" s="272">
        <f>SUM(I28:I32)</f>
        <v>501470</v>
      </c>
      <c r="J33" s="289"/>
      <c r="K33" s="425"/>
      <c r="L33" s="302"/>
    </row>
    <row r="34" spans="1:12" ht="4.5" customHeight="1" thickBot="1" x14ac:dyDescent="0.3">
      <c r="A34" s="70"/>
      <c r="B34" s="62"/>
      <c r="C34" s="62"/>
      <c r="D34" s="62"/>
      <c r="E34" s="62"/>
      <c r="F34" s="344"/>
      <c r="G34" s="62"/>
      <c r="H34" s="62"/>
      <c r="I34" s="71"/>
      <c r="J34" s="158"/>
      <c r="K34" s="425"/>
    </row>
    <row r="35" spans="1:12" s="27" customFormat="1" x14ac:dyDescent="0.25">
      <c r="A35" s="261"/>
      <c r="B35" s="262">
        <v>5</v>
      </c>
      <c r="C35" s="263"/>
      <c r="D35" s="264" t="s">
        <v>322</v>
      </c>
      <c r="E35" s="265"/>
      <c r="F35" s="263"/>
      <c r="G35" s="266"/>
      <c r="H35" s="267"/>
      <c r="I35" s="268"/>
      <c r="J35" s="159"/>
      <c r="K35" s="425"/>
      <c r="L35" s="294"/>
    </row>
    <row r="36" spans="1:12" ht="64.5" customHeight="1" x14ac:dyDescent="0.25">
      <c r="A36" s="67" t="s">
        <v>20</v>
      </c>
      <c r="B36" s="28" t="s">
        <v>371</v>
      </c>
      <c r="C36" s="9" t="s">
        <v>346</v>
      </c>
      <c r="D36" s="10" t="s">
        <v>349</v>
      </c>
      <c r="E36" s="11" t="s">
        <v>142</v>
      </c>
      <c r="F36" s="149">
        <f>MEMORIA!C181</f>
        <v>3904</v>
      </c>
      <c r="G36" s="25">
        <v>51.16</v>
      </c>
      <c r="H36" s="24">
        <f>ROUND((G36*$K$9),2)</f>
        <v>64.53</v>
      </c>
      <c r="I36" s="68">
        <f>ROUND((H36*F36),2)</f>
        <v>251925.12</v>
      </c>
      <c r="J36" s="157"/>
      <c r="K36" s="425"/>
      <c r="L36" s="298"/>
    </row>
    <row r="37" spans="1:12" ht="45" customHeight="1" x14ac:dyDescent="0.25">
      <c r="A37" s="67" t="s">
        <v>20</v>
      </c>
      <c r="B37" s="28" t="s">
        <v>372</v>
      </c>
      <c r="C37" s="9" t="s">
        <v>347</v>
      </c>
      <c r="D37" s="187" t="s">
        <v>350</v>
      </c>
      <c r="E37" s="11" t="s">
        <v>142</v>
      </c>
      <c r="F37" s="149">
        <f>MEMORIA!C189</f>
        <v>3904</v>
      </c>
      <c r="G37" s="25">
        <v>75.23</v>
      </c>
      <c r="H37" s="24">
        <f>ROUND((G37*$K$9),2)</f>
        <v>94.89</v>
      </c>
      <c r="I37" s="68">
        <f>ROUND((H37*F37),2)</f>
        <v>370450.56</v>
      </c>
      <c r="J37" s="157"/>
      <c r="K37" s="425"/>
      <c r="L37" s="298"/>
    </row>
    <row r="38" spans="1:12" ht="39" thickBot="1" x14ac:dyDescent="0.3">
      <c r="A38" s="67" t="s">
        <v>20</v>
      </c>
      <c r="B38" s="28" t="s">
        <v>373</v>
      </c>
      <c r="C38" s="443" t="s">
        <v>348</v>
      </c>
      <c r="D38" s="65" t="s">
        <v>351</v>
      </c>
      <c r="E38" s="66" t="s">
        <v>142</v>
      </c>
      <c r="F38" s="149">
        <f>MEMORIA!C197</f>
        <v>96</v>
      </c>
      <c r="G38" s="318">
        <v>160.47999999999999</v>
      </c>
      <c r="H38" s="24">
        <f>ROUND((G38*$K$9),2)</f>
        <v>202.43</v>
      </c>
      <c r="I38" s="68">
        <f>ROUND((H38*F38),2)</f>
        <v>19433.28</v>
      </c>
      <c r="J38" s="157"/>
      <c r="K38" s="425"/>
    </row>
    <row r="39" spans="1:12" s="27" customFormat="1" ht="15.75" thickBot="1" x14ac:dyDescent="0.3">
      <c r="A39" s="269"/>
      <c r="B39" s="270"/>
      <c r="C39" s="270"/>
      <c r="D39" s="270"/>
      <c r="E39" s="270"/>
      <c r="F39" s="343"/>
      <c r="G39" s="270"/>
      <c r="H39" s="271" t="s">
        <v>165</v>
      </c>
      <c r="I39" s="272">
        <f>SUM(I36:I38)</f>
        <v>641808.96</v>
      </c>
      <c r="J39" s="289"/>
      <c r="K39" s="425"/>
      <c r="L39" s="302"/>
    </row>
    <row r="40" spans="1:12" ht="4.5" customHeight="1" thickBot="1" x14ac:dyDescent="0.3">
      <c r="A40" s="70"/>
      <c r="B40" s="62"/>
      <c r="C40" s="62"/>
      <c r="D40" s="62"/>
      <c r="E40" s="62"/>
      <c r="F40" s="344"/>
      <c r="G40" s="62"/>
      <c r="H40" s="62"/>
      <c r="I40" s="71"/>
      <c r="J40" s="158"/>
      <c r="K40" s="425"/>
    </row>
    <row r="41" spans="1:12" s="27" customFormat="1" x14ac:dyDescent="0.25">
      <c r="A41" s="261"/>
      <c r="B41" s="262">
        <v>6</v>
      </c>
      <c r="C41" s="263"/>
      <c r="D41" s="264" t="s">
        <v>323</v>
      </c>
      <c r="E41" s="265"/>
      <c r="F41" s="263"/>
      <c r="G41" s="266"/>
      <c r="H41" s="267"/>
      <c r="I41" s="268"/>
      <c r="J41" s="159"/>
      <c r="K41" s="425"/>
      <c r="L41" s="294"/>
    </row>
    <row r="42" spans="1:12" s="201" customFormat="1" ht="14.85" customHeight="1" x14ac:dyDescent="0.25">
      <c r="A42" s="438"/>
      <c r="B42" s="273" t="s">
        <v>55</v>
      </c>
      <c r="C42" s="274"/>
      <c r="D42" s="274" t="s">
        <v>324</v>
      </c>
      <c r="E42" s="274"/>
      <c r="F42" s="273"/>
      <c r="G42" s="274"/>
      <c r="H42" s="274"/>
      <c r="I42" s="439"/>
      <c r="J42" s="200"/>
      <c r="K42" s="425"/>
      <c r="L42" s="297"/>
    </row>
    <row r="43" spans="1:12" ht="54" customHeight="1" x14ac:dyDescent="0.25">
      <c r="A43" s="67" t="s">
        <v>20</v>
      </c>
      <c r="B43" s="28" t="s">
        <v>352</v>
      </c>
      <c r="C43" s="9" t="s">
        <v>356</v>
      </c>
      <c r="D43" s="10" t="s">
        <v>362</v>
      </c>
      <c r="E43" s="11" t="s">
        <v>334</v>
      </c>
      <c r="F43" s="149">
        <f>MEMORIA!C208</f>
        <v>472.8</v>
      </c>
      <c r="G43" s="25">
        <v>92.32</v>
      </c>
      <c r="H43" s="24">
        <f>ROUND((G43*$K$9),2)</f>
        <v>116.45</v>
      </c>
      <c r="I43" s="68">
        <f>ROUND((H43*F43),2)</f>
        <v>55057.56</v>
      </c>
      <c r="J43" s="157"/>
      <c r="K43" s="425"/>
      <c r="L43" s="298"/>
    </row>
    <row r="44" spans="1:12" ht="45" customHeight="1" x14ac:dyDescent="0.25">
      <c r="A44" s="67" t="s">
        <v>20</v>
      </c>
      <c r="B44" s="28" t="s">
        <v>353</v>
      </c>
      <c r="C44" s="9" t="s">
        <v>357</v>
      </c>
      <c r="D44" s="187" t="s">
        <v>363</v>
      </c>
      <c r="E44" s="11" t="s">
        <v>329</v>
      </c>
      <c r="F44" s="149">
        <f>MEMORIA!C216</f>
        <v>4728</v>
      </c>
      <c r="G44" s="25">
        <v>89.01</v>
      </c>
      <c r="H44" s="24">
        <f>ROUND((G44*$K$9),2)</f>
        <v>112.28</v>
      </c>
      <c r="I44" s="68">
        <f>ROUND((H44*F44),2)</f>
        <v>530859.84</v>
      </c>
      <c r="J44" s="157"/>
      <c r="K44" s="425"/>
      <c r="L44" s="298"/>
    </row>
    <row r="45" spans="1:12" s="201" customFormat="1" ht="14.85" customHeight="1" x14ac:dyDescent="0.25">
      <c r="A45" s="438"/>
      <c r="B45" s="273" t="s">
        <v>56</v>
      </c>
      <c r="C45" s="274"/>
      <c r="D45" s="274" t="s">
        <v>325</v>
      </c>
      <c r="E45" s="274"/>
      <c r="F45" s="273"/>
      <c r="G45" s="274"/>
      <c r="H45" s="274"/>
      <c r="I45" s="439"/>
      <c r="J45" s="200"/>
      <c r="K45" s="425"/>
      <c r="L45" s="297"/>
    </row>
    <row r="46" spans="1:12" ht="45" customHeight="1" x14ac:dyDescent="0.25">
      <c r="A46" s="67" t="s">
        <v>20</v>
      </c>
      <c r="B46" s="28" t="s">
        <v>354</v>
      </c>
      <c r="C46" s="443" t="s">
        <v>359</v>
      </c>
      <c r="D46" s="65" t="s">
        <v>364</v>
      </c>
      <c r="E46" s="11" t="s">
        <v>334</v>
      </c>
      <c r="F46" s="149">
        <f>MEMORIA!C226</f>
        <v>58.56</v>
      </c>
      <c r="G46" s="318">
        <v>67.599999999999994</v>
      </c>
      <c r="H46" s="24">
        <f>ROUND((G46*$K$9),2)</f>
        <v>85.27</v>
      </c>
      <c r="I46" s="68">
        <f>ROUND((H46*F46),2)</f>
        <v>4993.41</v>
      </c>
      <c r="J46" s="157"/>
      <c r="K46" s="425"/>
      <c r="L46" s="298"/>
    </row>
    <row r="47" spans="1:12" ht="45" customHeight="1" x14ac:dyDescent="0.25">
      <c r="A47" s="67" t="s">
        <v>20</v>
      </c>
      <c r="B47" s="28" t="s">
        <v>355</v>
      </c>
      <c r="C47" s="443" t="s">
        <v>360</v>
      </c>
      <c r="D47" s="65" t="s">
        <v>365</v>
      </c>
      <c r="E47" s="11" t="s">
        <v>329</v>
      </c>
      <c r="F47" s="149">
        <f>MEMORIA!C234</f>
        <v>1561.6</v>
      </c>
      <c r="G47" s="318">
        <f>COMPOSIÇÕES!D42</f>
        <v>18.310000000000002</v>
      </c>
      <c r="H47" s="24">
        <v>97.06</v>
      </c>
      <c r="I47" s="68">
        <f>ROUND((H47*F47),2)</f>
        <v>151568.9</v>
      </c>
      <c r="J47" s="157"/>
      <c r="K47" s="425"/>
      <c r="L47" s="298"/>
    </row>
    <row r="48" spans="1:12" ht="39" thickBot="1" x14ac:dyDescent="0.3">
      <c r="A48" s="67" t="s">
        <v>20</v>
      </c>
      <c r="B48" s="28" t="s">
        <v>358</v>
      </c>
      <c r="C48" s="443" t="s">
        <v>361</v>
      </c>
      <c r="D48" s="65" t="s">
        <v>366</v>
      </c>
      <c r="E48" s="11" t="s">
        <v>334</v>
      </c>
      <c r="F48" s="149">
        <f>MEMORIA!C242</f>
        <v>82.2</v>
      </c>
      <c r="G48" s="318">
        <v>428.32</v>
      </c>
      <c r="H48" s="24">
        <f>ROUND((G48*$K$9),2)</f>
        <v>540.28</v>
      </c>
      <c r="I48" s="68">
        <f>ROUND((H48*F48),2)</f>
        <v>44411.02</v>
      </c>
      <c r="J48" s="157"/>
      <c r="K48" s="425"/>
    </row>
    <row r="49" spans="1:12" s="27" customFormat="1" ht="15.75" thickBot="1" x14ac:dyDescent="0.3">
      <c r="A49" s="269"/>
      <c r="B49" s="270"/>
      <c r="C49" s="270"/>
      <c r="D49" s="270"/>
      <c r="E49" s="270"/>
      <c r="F49" s="343"/>
      <c r="G49" s="270"/>
      <c r="H49" s="271" t="s">
        <v>164</v>
      </c>
      <c r="I49" s="272">
        <f>SUM(I43:I48)</f>
        <v>786890.73</v>
      </c>
      <c r="J49" s="289"/>
      <c r="K49" s="425"/>
      <c r="L49" s="302"/>
    </row>
    <row r="50" spans="1:12" ht="4.5" customHeight="1" thickBot="1" x14ac:dyDescent="0.3">
      <c r="A50" s="70"/>
      <c r="B50" s="62"/>
      <c r="C50" s="62"/>
      <c r="D50" s="62"/>
      <c r="E50" s="62"/>
      <c r="F50" s="344"/>
      <c r="G50" s="62"/>
      <c r="H50" s="62"/>
      <c r="I50" s="71"/>
      <c r="J50" s="158"/>
      <c r="K50" s="425"/>
    </row>
    <row r="51" spans="1:12" x14ac:dyDescent="0.25">
      <c r="A51" s="261"/>
      <c r="B51" s="262">
        <v>7</v>
      </c>
      <c r="C51" s="263"/>
      <c r="D51" s="264" t="s">
        <v>24</v>
      </c>
      <c r="E51" s="265"/>
      <c r="F51" s="263"/>
      <c r="G51" s="266"/>
      <c r="H51" s="267"/>
      <c r="I51" s="268"/>
      <c r="J51" s="157"/>
      <c r="K51" s="425"/>
    </row>
    <row r="52" spans="1:12" x14ac:dyDescent="0.25">
      <c r="A52" s="67" t="s">
        <v>118</v>
      </c>
      <c r="B52" s="28" t="s">
        <v>62</v>
      </c>
      <c r="C52" s="9" t="s">
        <v>224</v>
      </c>
      <c r="D52" s="10" t="s">
        <v>244</v>
      </c>
      <c r="E52" s="11" t="s">
        <v>34</v>
      </c>
      <c r="F52" s="149">
        <f>MEMORIA!F252</f>
        <v>12000</v>
      </c>
      <c r="G52" s="25">
        <f>COMPOSIÇÕES!D27</f>
        <v>5.38</v>
      </c>
      <c r="H52" s="24">
        <f>ROUND((G52*$K$9),2)</f>
        <v>6.79</v>
      </c>
      <c r="I52" s="68">
        <f>ROUND((H52*F52),2)</f>
        <v>81480</v>
      </c>
      <c r="J52" s="157"/>
      <c r="K52" s="425"/>
    </row>
    <row r="53" spans="1:12" ht="25.5" x14ac:dyDescent="0.25">
      <c r="A53" s="67" t="s">
        <v>20</v>
      </c>
      <c r="B53" s="28" t="s">
        <v>59</v>
      </c>
      <c r="C53" s="9" t="s">
        <v>147</v>
      </c>
      <c r="D53" s="10" t="s">
        <v>148</v>
      </c>
      <c r="E53" s="11" t="s">
        <v>34</v>
      </c>
      <c r="F53" s="149">
        <f>MEMORIA!F260</f>
        <v>12200</v>
      </c>
      <c r="G53" s="25">
        <v>2.66</v>
      </c>
      <c r="H53" s="24">
        <f>ROUND((G53*$K$9),2)</f>
        <v>3.36</v>
      </c>
      <c r="I53" s="68">
        <f>ROUND((H53*F53),2)</f>
        <v>40992</v>
      </c>
      <c r="J53" s="157"/>
      <c r="K53" s="425"/>
    </row>
    <row r="54" spans="1:12" ht="38.25" x14ac:dyDescent="0.25">
      <c r="A54" s="67" t="s">
        <v>20</v>
      </c>
      <c r="B54" s="28" t="s">
        <v>206</v>
      </c>
      <c r="C54" s="9" t="s">
        <v>177</v>
      </c>
      <c r="D54" s="10" t="s">
        <v>178</v>
      </c>
      <c r="E54" s="11" t="s">
        <v>37</v>
      </c>
      <c r="F54" s="149">
        <f>MEMORIA!E274</f>
        <v>4270</v>
      </c>
      <c r="G54" s="25">
        <v>0.65</v>
      </c>
      <c r="H54" s="24">
        <f>ROUND((G54*$K$9),2)</f>
        <v>0.82</v>
      </c>
      <c r="I54" s="68">
        <f>ROUND((H54*F54),2)</f>
        <v>3501.4</v>
      </c>
      <c r="J54" s="157"/>
      <c r="K54" s="425"/>
    </row>
    <row r="55" spans="1:12" ht="51.75" thickBot="1" x14ac:dyDescent="0.3">
      <c r="A55" s="67" t="s">
        <v>20</v>
      </c>
      <c r="B55" s="28" t="s">
        <v>207</v>
      </c>
      <c r="C55" s="9" t="s">
        <v>315</v>
      </c>
      <c r="D55" s="10" t="s">
        <v>150</v>
      </c>
      <c r="E55" s="11" t="s">
        <v>36</v>
      </c>
      <c r="F55" s="149">
        <f>MEMORIA!C284</f>
        <v>427</v>
      </c>
      <c r="G55" s="25">
        <v>1276.74</v>
      </c>
      <c r="H55" s="24">
        <f>ROUND((G55*$K$9),2)</f>
        <v>1610.46</v>
      </c>
      <c r="I55" s="68">
        <f>ROUND((H55*F55),2)</f>
        <v>687666.42</v>
      </c>
      <c r="J55" s="158"/>
      <c r="K55" s="425"/>
    </row>
    <row r="56" spans="1:12" ht="15.75" customHeight="1" thickBot="1" x14ac:dyDescent="0.3">
      <c r="A56" s="269"/>
      <c r="B56" s="270"/>
      <c r="C56" s="270"/>
      <c r="D56" s="270"/>
      <c r="E56" s="270"/>
      <c r="F56" s="343"/>
      <c r="G56" s="270"/>
      <c r="H56" s="271" t="s">
        <v>165</v>
      </c>
      <c r="I56" s="272">
        <f>SUM(I52:I55)</f>
        <v>813639.82000000007</v>
      </c>
      <c r="J56" s="158"/>
      <c r="K56" s="425"/>
      <c r="L56" s="296"/>
    </row>
    <row r="57" spans="1:12" ht="4.5" hidden="1" customHeight="1" thickBot="1" x14ac:dyDescent="0.3">
      <c r="A57" s="70"/>
      <c r="B57" s="62"/>
      <c r="C57" s="62"/>
      <c r="D57" s="62"/>
      <c r="E57" s="62"/>
      <c r="F57" s="344"/>
      <c r="G57" s="62"/>
      <c r="H57" s="62"/>
      <c r="I57" s="71"/>
      <c r="J57" s="158"/>
      <c r="K57" s="425"/>
    </row>
    <row r="58" spans="1:12" hidden="1" x14ac:dyDescent="0.25">
      <c r="A58" s="261"/>
      <c r="B58" s="262">
        <v>7</v>
      </c>
      <c r="C58" s="263"/>
      <c r="D58" s="264" t="s">
        <v>186</v>
      </c>
      <c r="E58" s="265"/>
      <c r="F58" s="263"/>
      <c r="G58" s="266"/>
      <c r="H58" s="267"/>
      <c r="I58" s="268"/>
      <c r="J58" s="160"/>
      <c r="K58" s="425"/>
    </row>
    <row r="59" spans="1:12" ht="25.5" hidden="1" x14ac:dyDescent="0.25">
      <c r="A59" s="67" t="s">
        <v>20</v>
      </c>
      <c r="B59" s="28" t="s">
        <v>62</v>
      </c>
      <c r="C59" s="9" t="s">
        <v>147</v>
      </c>
      <c r="D59" s="10" t="s">
        <v>148</v>
      </c>
      <c r="E59" s="11" t="s">
        <v>34</v>
      </c>
      <c r="F59" s="149">
        <f>MEMORIA!C296</f>
        <v>2000</v>
      </c>
      <c r="G59" s="25">
        <v>2.4300000000000002</v>
      </c>
      <c r="H59" s="24">
        <f t="shared" ref="H59:H64" si="2">ROUND((G59*$K$9),2)</f>
        <v>3.07</v>
      </c>
      <c r="I59" s="68">
        <f t="shared" ref="I59:I64" si="3">ROUND((H59*F59),2)</f>
        <v>6140</v>
      </c>
      <c r="J59" s="157"/>
      <c r="K59" s="425"/>
    </row>
    <row r="60" spans="1:12" ht="38.25" hidden="1" x14ac:dyDescent="0.25">
      <c r="A60" s="67" t="s">
        <v>20</v>
      </c>
      <c r="B60" s="28" t="s">
        <v>59</v>
      </c>
      <c r="C60" s="9" t="s">
        <v>177</v>
      </c>
      <c r="D60" s="10" t="s">
        <v>178</v>
      </c>
      <c r="E60" s="11" t="s">
        <v>37</v>
      </c>
      <c r="F60" s="149" t="e">
        <f>MEMORIA!#REF!</f>
        <v>#REF!</v>
      </c>
      <c r="G60" s="25">
        <v>0.59</v>
      </c>
      <c r="H60" s="24">
        <f t="shared" si="2"/>
        <v>0.74</v>
      </c>
      <c r="I60" s="68" t="e">
        <f t="shared" si="3"/>
        <v>#REF!</v>
      </c>
      <c r="J60" s="157"/>
      <c r="K60" s="425"/>
    </row>
    <row r="61" spans="1:12" ht="51" hidden="1" x14ac:dyDescent="0.25">
      <c r="A61" s="67" t="s">
        <v>118</v>
      </c>
      <c r="B61" s="28" t="s">
        <v>206</v>
      </c>
      <c r="C61" s="64" t="s">
        <v>179</v>
      </c>
      <c r="D61" s="65" t="s">
        <v>247</v>
      </c>
      <c r="E61" s="66" t="s">
        <v>36</v>
      </c>
      <c r="F61" s="149" t="e">
        <f>MEMORIA!#REF!</f>
        <v>#REF!</v>
      </c>
      <c r="G61" s="318">
        <f>G64</f>
        <v>1276.74</v>
      </c>
      <c r="H61" s="24">
        <f t="shared" si="2"/>
        <v>1610.46</v>
      </c>
      <c r="I61" s="68" t="e">
        <f t="shared" si="3"/>
        <v>#REF!</v>
      </c>
      <c r="J61" s="157"/>
      <c r="K61" s="425"/>
    </row>
    <row r="62" spans="1:12" ht="45.75" hidden="1" customHeight="1" x14ac:dyDescent="0.25">
      <c r="A62" s="67" t="s">
        <v>20</v>
      </c>
      <c r="B62" s="28" t="s">
        <v>207</v>
      </c>
      <c r="C62" s="9" t="s">
        <v>147</v>
      </c>
      <c r="D62" s="10" t="s">
        <v>148</v>
      </c>
      <c r="E62" s="11" t="s">
        <v>34</v>
      </c>
      <c r="F62" s="149" t="e">
        <f>MEMORIA!#REF!</f>
        <v>#REF!</v>
      </c>
      <c r="G62" s="25">
        <v>2.4300000000000002</v>
      </c>
      <c r="H62" s="24">
        <f t="shared" si="2"/>
        <v>3.07</v>
      </c>
      <c r="I62" s="68" t="e">
        <f t="shared" si="3"/>
        <v>#REF!</v>
      </c>
      <c r="J62" s="157"/>
      <c r="K62" s="425"/>
    </row>
    <row r="63" spans="1:12" ht="38.25" hidden="1" x14ac:dyDescent="0.25">
      <c r="A63" s="67" t="s">
        <v>20</v>
      </c>
      <c r="B63" s="28" t="s">
        <v>208</v>
      </c>
      <c r="C63" s="9" t="s">
        <v>177</v>
      </c>
      <c r="D63" s="10" t="s">
        <v>178</v>
      </c>
      <c r="E63" s="11" t="s">
        <v>37</v>
      </c>
      <c r="F63" s="149" t="e">
        <f>MEMORIA!#REF!</f>
        <v>#REF!</v>
      </c>
      <c r="G63" s="25">
        <v>0.59</v>
      </c>
      <c r="H63" s="24">
        <f t="shared" si="2"/>
        <v>0.74</v>
      </c>
      <c r="I63" s="68" t="e">
        <f t="shared" si="3"/>
        <v>#REF!</v>
      </c>
      <c r="J63" s="157"/>
      <c r="K63" s="425"/>
    </row>
    <row r="64" spans="1:12" ht="51" hidden="1" x14ac:dyDescent="0.25">
      <c r="A64" s="67" t="s">
        <v>118</v>
      </c>
      <c r="B64" s="28" t="s">
        <v>209</v>
      </c>
      <c r="C64" s="64" t="s">
        <v>179</v>
      </c>
      <c r="D64" s="65" t="s">
        <v>150</v>
      </c>
      <c r="E64" s="66" t="s">
        <v>36</v>
      </c>
      <c r="F64" s="149" t="e">
        <f>MEMORIA!#REF!</f>
        <v>#REF!</v>
      </c>
      <c r="G64" s="318">
        <f>G55</f>
        <v>1276.74</v>
      </c>
      <c r="H64" s="24">
        <f t="shared" si="2"/>
        <v>1610.46</v>
      </c>
      <c r="I64" s="68" t="e">
        <f t="shared" si="3"/>
        <v>#REF!</v>
      </c>
      <c r="J64" s="158"/>
      <c r="K64" s="425"/>
      <c r="L64" s="296"/>
    </row>
    <row r="65" spans="1:12" ht="15.75" hidden="1" customHeight="1" thickBot="1" x14ac:dyDescent="0.3">
      <c r="A65" s="269"/>
      <c r="B65" s="270"/>
      <c r="C65" s="270"/>
      <c r="D65" s="270"/>
      <c r="E65" s="270"/>
      <c r="F65" s="343"/>
      <c r="G65" s="270"/>
      <c r="H65" s="271" t="s">
        <v>165</v>
      </c>
      <c r="I65" s="272"/>
      <c r="J65" s="158"/>
      <c r="K65" s="425"/>
      <c r="L65" s="296"/>
    </row>
    <row r="66" spans="1:12" ht="4.5" hidden="1" customHeight="1" thickBot="1" x14ac:dyDescent="0.3">
      <c r="A66" s="70"/>
      <c r="B66" s="62"/>
      <c r="C66" s="62"/>
      <c r="D66" s="62"/>
      <c r="E66" s="62"/>
      <c r="F66" s="344"/>
      <c r="G66" s="62"/>
      <c r="H66" s="62"/>
      <c r="I66" s="71"/>
      <c r="J66" s="158"/>
      <c r="K66" s="425"/>
    </row>
    <row r="67" spans="1:12" hidden="1" x14ac:dyDescent="0.25">
      <c r="A67" s="261"/>
      <c r="B67" s="262">
        <v>8</v>
      </c>
      <c r="C67" s="263"/>
      <c r="D67" s="264" t="s">
        <v>25</v>
      </c>
      <c r="E67" s="265"/>
      <c r="F67" s="263"/>
      <c r="G67" s="266"/>
      <c r="H67" s="267"/>
      <c r="I67" s="268"/>
      <c r="J67" s="160"/>
      <c r="K67" s="425"/>
    </row>
    <row r="68" spans="1:12" s="27" customFormat="1" ht="25.5" hidden="1" x14ac:dyDescent="0.25">
      <c r="A68" s="69" t="s">
        <v>20</v>
      </c>
      <c r="B68" s="63" t="s">
        <v>203</v>
      </c>
      <c r="C68" s="64" t="s">
        <v>222</v>
      </c>
      <c r="D68" s="65" t="s">
        <v>303</v>
      </c>
      <c r="E68" s="66" t="s">
        <v>34</v>
      </c>
      <c r="F68" s="149" t="e">
        <f>MEMORIA!#REF!</f>
        <v>#REF!</v>
      </c>
      <c r="G68" s="318">
        <v>18.36</v>
      </c>
      <c r="H68" s="24">
        <f>ROUND((G68*$K$9),2)</f>
        <v>23.16</v>
      </c>
      <c r="I68" s="68" t="e">
        <f>ROUND((H68*F68),2)</f>
        <v>#REF!</v>
      </c>
      <c r="J68" s="159"/>
      <c r="K68" s="425"/>
      <c r="L68" s="294"/>
    </row>
    <row r="69" spans="1:12" ht="15.75" hidden="1" thickBot="1" x14ac:dyDescent="0.3">
      <c r="A69" s="269"/>
      <c r="B69" s="270"/>
      <c r="C69" s="270"/>
      <c r="D69" s="270"/>
      <c r="E69" s="270"/>
      <c r="F69" s="343"/>
      <c r="G69" s="270"/>
      <c r="H69" s="271" t="s">
        <v>166</v>
      </c>
      <c r="I69" s="272"/>
      <c r="J69" s="157"/>
      <c r="K69" s="425"/>
    </row>
    <row r="70" spans="1:12" ht="4.5" hidden="1" customHeight="1" thickBot="1" x14ac:dyDescent="0.3">
      <c r="A70" s="70"/>
      <c r="B70" s="62"/>
      <c r="C70" s="62"/>
      <c r="D70" s="62"/>
      <c r="E70" s="62"/>
      <c r="F70" s="344"/>
      <c r="G70" s="62"/>
      <c r="H70" s="62"/>
      <c r="I70" s="71"/>
      <c r="J70" s="158"/>
      <c r="K70" s="425"/>
    </row>
    <row r="71" spans="1:12" hidden="1" x14ac:dyDescent="0.25">
      <c r="A71" s="261"/>
      <c r="B71" s="262">
        <v>10</v>
      </c>
      <c r="C71" s="263"/>
      <c r="D71" s="264" t="s">
        <v>210</v>
      </c>
      <c r="E71" s="265"/>
      <c r="F71" s="263"/>
      <c r="G71" s="266"/>
      <c r="H71" s="267"/>
      <c r="I71" s="268"/>
      <c r="J71" s="186"/>
      <c r="K71" s="425"/>
    </row>
    <row r="72" spans="1:12" hidden="1" x14ac:dyDescent="0.25">
      <c r="A72" s="67" t="s">
        <v>118</v>
      </c>
      <c r="B72" s="28" t="s">
        <v>212</v>
      </c>
      <c r="C72" s="9" t="s">
        <v>215</v>
      </c>
      <c r="D72" s="421" t="s">
        <v>218</v>
      </c>
      <c r="E72" s="422" t="s">
        <v>211</v>
      </c>
      <c r="F72" s="422">
        <v>1</v>
      </c>
      <c r="G72" s="25" t="e">
        <f>#REF!</f>
        <v>#REF!</v>
      </c>
      <c r="H72" s="24" t="e">
        <f>ROUND((G72*$K$9),2)</f>
        <v>#REF!</v>
      </c>
      <c r="I72" s="68" t="e">
        <f>ROUND((H72*F72),2)</f>
        <v>#REF!</v>
      </c>
      <c r="J72" s="186"/>
      <c r="K72" s="425"/>
    </row>
    <row r="73" spans="1:12" hidden="1" x14ac:dyDescent="0.25">
      <c r="A73" s="67" t="s">
        <v>118</v>
      </c>
      <c r="B73" s="28" t="s">
        <v>213</v>
      </c>
      <c r="C73" s="9" t="s">
        <v>216</v>
      </c>
      <c r="D73" s="421" t="s">
        <v>219</v>
      </c>
      <c r="E73" s="422" t="s">
        <v>211</v>
      </c>
      <c r="F73" s="422">
        <v>1</v>
      </c>
      <c r="G73" s="25" t="e">
        <f>#REF!</f>
        <v>#REF!</v>
      </c>
      <c r="H73" s="24" t="e">
        <f>ROUND((G73*$K$9),2)</f>
        <v>#REF!</v>
      </c>
      <c r="I73" s="68" t="e">
        <f>ROUND((H73*F73),2)</f>
        <v>#REF!</v>
      </c>
      <c r="J73" s="186"/>
      <c r="K73" s="425"/>
    </row>
    <row r="74" spans="1:12" hidden="1" x14ac:dyDescent="0.25">
      <c r="A74" s="67" t="s">
        <v>118</v>
      </c>
      <c r="B74" s="28" t="s">
        <v>214</v>
      </c>
      <c r="C74" s="9" t="s">
        <v>217</v>
      </c>
      <c r="D74" s="421" t="s">
        <v>220</v>
      </c>
      <c r="E74" s="422" t="s">
        <v>211</v>
      </c>
      <c r="F74" s="422">
        <v>1</v>
      </c>
      <c r="G74" s="25" t="e">
        <f>#REF!</f>
        <v>#REF!</v>
      </c>
      <c r="H74" s="24" t="e">
        <f>ROUND((G74*$K$9),2)</f>
        <v>#REF!</v>
      </c>
      <c r="I74" s="68" t="e">
        <f>ROUND((H74*F74),2)</f>
        <v>#REF!</v>
      </c>
      <c r="J74" s="186"/>
      <c r="K74" s="425"/>
    </row>
    <row r="75" spans="1:12" ht="15.75" hidden="1" thickBot="1" x14ac:dyDescent="0.3">
      <c r="A75" s="400"/>
      <c r="B75" s="399"/>
      <c r="C75" s="399"/>
      <c r="D75" s="399"/>
      <c r="E75" s="399"/>
      <c r="F75" s="398"/>
      <c r="G75" s="399"/>
      <c r="H75" s="419"/>
      <c r="I75" s="420"/>
      <c r="J75" s="186"/>
      <c r="K75" s="425"/>
    </row>
    <row r="76" spans="1:12" ht="15.75" thickBot="1" x14ac:dyDescent="0.3">
      <c r="A76" s="70"/>
      <c r="B76" s="62"/>
      <c r="C76" s="62"/>
      <c r="D76" s="62"/>
      <c r="E76" s="62"/>
      <c r="F76" s="344"/>
      <c r="G76" s="62"/>
      <c r="H76" s="62"/>
      <c r="I76" s="71"/>
      <c r="K76" s="296"/>
      <c r="L76" s="301"/>
    </row>
    <row r="77" spans="1:12" ht="4.5" customHeight="1" thickBot="1" x14ac:dyDescent="0.3">
      <c r="A77" s="70"/>
      <c r="B77" s="62"/>
      <c r="C77" s="62"/>
      <c r="D77" s="62"/>
      <c r="E77" s="62"/>
      <c r="F77" s="344"/>
      <c r="G77" s="62"/>
      <c r="H77" s="62"/>
      <c r="I77" s="71"/>
      <c r="J77" s="158"/>
      <c r="K77" s="425"/>
    </row>
    <row r="78" spans="1:12" x14ac:dyDescent="0.25">
      <c r="A78" s="261"/>
      <c r="B78" s="262">
        <v>8</v>
      </c>
      <c r="C78" s="263"/>
      <c r="D78" s="264" t="s">
        <v>367</v>
      </c>
      <c r="E78" s="265"/>
      <c r="F78" s="263"/>
      <c r="G78" s="266"/>
      <c r="H78" s="267"/>
      <c r="I78" s="268"/>
      <c r="J78" s="157"/>
      <c r="K78" s="425"/>
    </row>
    <row r="79" spans="1:12" ht="51.75" thickBot="1" x14ac:dyDescent="0.3">
      <c r="A79" s="67" t="s">
        <v>20</v>
      </c>
      <c r="B79" s="28" t="s">
        <v>203</v>
      </c>
      <c r="C79" s="9" t="s">
        <v>368</v>
      </c>
      <c r="D79" s="10" t="s">
        <v>369</v>
      </c>
      <c r="E79" s="11" t="s">
        <v>142</v>
      </c>
      <c r="F79" s="149">
        <f>MEMORIA!C296</f>
        <v>2000</v>
      </c>
      <c r="G79" s="25">
        <v>3.7</v>
      </c>
      <c r="H79" s="24">
        <f>ROUND((G79*$K$9),2)</f>
        <v>4.67</v>
      </c>
      <c r="I79" s="68">
        <f>ROUND((H79*F79),2)</f>
        <v>9340</v>
      </c>
      <c r="J79" s="157"/>
      <c r="K79" s="425"/>
    </row>
    <row r="80" spans="1:12" ht="15.75" customHeight="1" thickBot="1" x14ac:dyDescent="0.3">
      <c r="A80" s="269"/>
      <c r="B80" s="270"/>
      <c r="C80" s="270"/>
      <c r="D80" s="270"/>
      <c r="E80" s="270"/>
      <c r="F80" s="343"/>
      <c r="G80" s="270"/>
      <c r="H80" s="271" t="s">
        <v>165</v>
      </c>
      <c r="I80" s="272">
        <f>SUM(I79:I79)</f>
        <v>9340</v>
      </c>
      <c r="J80" s="158"/>
      <c r="K80" s="425"/>
      <c r="L80" s="296"/>
    </row>
    <row r="81" spans="1:12" ht="4.5" hidden="1" customHeight="1" thickBot="1" x14ac:dyDescent="0.3">
      <c r="A81" s="70"/>
      <c r="B81" s="62"/>
      <c r="C81" s="62"/>
      <c r="D81" s="62"/>
      <c r="E81" s="62"/>
      <c r="F81" s="344"/>
      <c r="G81" s="62"/>
      <c r="H81" s="62"/>
      <c r="I81" s="71"/>
      <c r="J81" s="158"/>
      <c r="K81" s="425"/>
    </row>
    <row r="82" spans="1:12" hidden="1" x14ac:dyDescent="0.25">
      <c r="A82" s="261"/>
      <c r="B82" s="262">
        <v>7</v>
      </c>
      <c r="C82" s="263"/>
      <c r="D82" s="264" t="s">
        <v>186</v>
      </c>
      <c r="E82" s="265"/>
      <c r="F82" s="263"/>
      <c r="G82" s="266"/>
      <c r="H82" s="267"/>
      <c r="I82" s="268"/>
      <c r="J82" s="160"/>
      <c r="K82" s="425"/>
    </row>
    <row r="83" spans="1:12" ht="25.5" hidden="1" x14ac:dyDescent="0.25">
      <c r="A83" s="67" t="s">
        <v>20</v>
      </c>
      <c r="B83" s="28" t="s">
        <v>62</v>
      </c>
      <c r="C83" s="9" t="s">
        <v>147</v>
      </c>
      <c r="D83" s="10" t="s">
        <v>148</v>
      </c>
      <c r="E83" s="11" t="s">
        <v>34</v>
      </c>
      <c r="F83" s="149" t="e">
        <f>MEMORIA!#REF!</f>
        <v>#REF!</v>
      </c>
      <c r="G83" s="25">
        <v>2.4300000000000002</v>
      </c>
      <c r="H83" s="24">
        <f t="shared" ref="H83:H88" si="4">ROUND((G83*$K$9),2)</f>
        <v>3.07</v>
      </c>
      <c r="I83" s="68" t="e">
        <f t="shared" ref="I83:I88" si="5">ROUND((H83*F83),2)</f>
        <v>#REF!</v>
      </c>
      <c r="J83" s="157"/>
      <c r="K83" s="425"/>
    </row>
    <row r="84" spans="1:12" ht="38.25" hidden="1" x14ac:dyDescent="0.25">
      <c r="A84" s="67" t="s">
        <v>20</v>
      </c>
      <c r="B84" s="28" t="s">
        <v>59</v>
      </c>
      <c r="C84" s="9" t="s">
        <v>177</v>
      </c>
      <c r="D84" s="10" t="s">
        <v>178</v>
      </c>
      <c r="E84" s="11" t="s">
        <v>37</v>
      </c>
      <c r="F84" s="149" t="e">
        <f>MEMORIA!#REF!</f>
        <v>#REF!</v>
      </c>
      <c r="G84" s="25">
        <v>0.59</v>
      </c>
      <c r="H84" s="24">
        <f t="shared" si="4"/>
        <v>0.74</v>
      </c>
      <c r="I84" s="68" t="e">
        <f t="shared" si="5"/>
        <v>#REF!</v>
      </c>
      <c r="J84" s="157"/>
      <c r="K84" s="425"/>
    </row>
    <row r="85" spans="1:12" ht="51" hidden="1" x14ac:dyDescent="0.25">
      <c r="A85" s="67" t="s">
        <v>118</v>
      </c>
      <c r="B85" s="28" t="s">
        <v>206</v>
      </c>
      <c r="C85" s="64" t="s">
        <v>179</v>
      </c>
      <c r="D85" s="65" t="s">
        <v>247</v>
      </c>
      <c r="E85" s="66" t="s">
        <v>36</v>
      </c>
      <c r="F85" s="149" t="e">
        <f>MEMORIA!#REF!</f>
        <v>#REF!</v>
      </c>
      <c r="G85" s="318" t="e">
        <f>G88</f>
        <v>#REF!</v>
      </c>
      <c r="H85" s="24" t="e">
        <f t="shared" si="4"/>
        <v>#REF!</v>
      </c>
      <c r="I85" s="68" t="e">
        <f t="shared" si="5"/>
        <v>#REF!</v>
      </c>
      <c r="J85" s="157"/>
      <c r="K85" s="425"/>
    </row>
    <row r="86" spans="1:12" ht="45.75" hidden="1" customHeight="1" thickBot="1" x14ac:dyDescent="0.25">
      <c r="A86" s="67" t="s">
        <v>20</v>
      </c>
      <c r="B86" s="28" t="s">
        <v>207</v>
      </c>
      <c r="C86" s="9" t="s">
        <v>147</v>
      </c>
      <c r="D86" s="10" t="s">
        <v>148</v>
      </c>
      <c r="E86" s="11" t="s">
        <v>34</v>
      </c>
      <c r="F86" s="149" t="e">
        <f>MEMORIA!#REF!</f>
        <v>#REF!</v>
      </c>
      <c r="G86" s="25">
        <v>2.4300000000000002</v>
      </c>
      <c r="H86" s="24">
        <f t="shared" si="4"/>
        <v>3.07</v>
      </c>
      <c r="I86" s="68" t="e">
        <f t="shared" si="5"/>
        <v>#REF!</v>
      </c>
      <c r="J86" s="157"/>
      <c r="K86" s="425"/>
    </row>
    <row r="87" spans="1:12" ht="38.25" hidden="1" x14ac:dyDescent="0.25">
      <c r="A87" s="67" t="s">
        <v>20</v>
      </c>
      <c r="B87" s="28" t="s">
        <v>208</v>
      </c>
      <c r="C87" s="9" t="s">
        <v>177</v>
      </c>
      <c r="D87" s="10" t="s">
        <v>178</v>
      </c>
      <c r="E87" s="11" t="s">
        <v>37</v>
      </c>
      <c r="F87" s="149" t="e">
        <f>MEMORIA!#REF!</f>
        <v>#REF!</v>
      </c>
      <c r="G87" s="25">
        <v>0.59</v>
      </c>
      <c r="H87" s="24">
        <f t="shared" si="4"/>
        <v>0.74</v>
      </c>
      <c r="I87" s="68" t="e">
        <f t="shared" si="5"/>
        <v>#REF!</v>
      </c>
      <c r="J87" s="157"/>
      <c r="K87" s="425"/>
    </row>
    <row r="88" spans="1:12" ht="51" hidden="1" x14ac:dyDescent="0.25">
      <c r="A88" s="67" t="s">
        <v>118</v>
      </c>
      <c r="B88" s="28" t="s">
        <v>209</v>
      </c>
      <c r="C88" s="64" t="s">
        <v>179</v>
      </c>
      <c r="D88" s="65" t="s">
        <v>150</v>
      </c>
      <c r="E88" s="66" t="s">
        <v>36</v>
      </c>
      <c r="F88" s="149" t="e">
        <f>MEMORIA!#REF!</f>
        <v>#REF!</v>
      </c>
      <c r="G88" s="318" t="e">
        <f>#REF!</f>
        <v>#REF!</v>
      </c>
      <c r="H88" s="24" t="e">
        <f t="shared" si="4"/>
        <v>#REF!</v>
      </c>
      <c r="I88" s="68" t="e">
        <f t="shared" si="5"/>
        <v>#REF!</v>
      </c>
      <c r="J88" s="158"/>
      <c r="K88" s="425"/>
      <c r="L88" s="296"/>
    </row>
    <row r="89" spans="1:12" ht="15.75" hidden="1" customHeight="1" thickBot="1" x14ac:dyDescent="0.3">
      <c r="A89" s="269"/>
      <c r="B89" s="270"/>
      <c r="C89" s="270"/>
      <c r="D89" s="270"/>
      <c r="E89" s="270"/>
      <c r="F89" s="343"/>
      <c r="G89" s="270"/>
      <c r="H89" s="271" t="s">
        <v>165</v>
      </c>
      <c r="I89" s="272"/>
      <c r="J89" s="158"/>
      <c r="K89" s="425"/>
      <c r="L89" s="296"/>
    </row>
    <row r="90" spans="1:12" ht="4.5" hidden="1" customHeight="1" thickBot="1" x14ac:dyDescent="0.3">
      <c r="A90" s="70"/>
      <c r="B90" s="62"/>
      <c r="C90" s="62"/>
      <c r="D90" s="62"/>
      <c r="E90" s="62"/>
      <c r="F90" s="344"/>
      <c r="G90" s="62"/>
      <c r="H90" s="62"/>
      <c r="I90" s="71"/>
      <c r="J90" s="158"/>
      <c r="K90" s="425"/>
    </row>
    <row r="91" spans="1:12" hidden="1" x14ac:dyDescent="0.25">
      <c r="A91" s="261"/>
      <c r="B91" s="262">
        <v>8</v>
      </c>
      <c r="C91" s="263"/>
      <c r="D91" s="264" t="s">
        <v>25</v>
      </c>
      <c r="E91" s="265"/>
      <c r="F91" s="263"/>
      <c r="G91" s="266"/>
      <c r="H91" s="267"/>
      <c r="I91" s="268"/>
      <c r="J91" s="160"/>
      <c r="K91" s="425"/>
    </row>
    <row r="92" spans="1:12" s="27" customFormat="1" ht="25.5" hidden="1" x14ac:dyDescent="0.25">
      <c r="A92" s="69" t="s">
        <v>20</v>
      </c>
      <c r="B92" s="63" t="s">
        <v>203</v>
      </c>
      <c r="C92" s="64" t="s">
        <v>222</v>
      </c>
      <c r="D92" s="65" t="s">
        <v>303</v>
      </c>
      <c r="E92" s="66" t="s">
        <v>34</v>
      </c>
      <c r="F92" s="149" t="e">
        <f>MEMORIA!#REF!</f>
        <v>#REF!</v>
      </c>
      <c r="G92" s="318">
        <v>18.36</v>
      </c>
      <c r="H92" s="24">
        <f>ROUND((G92*$K$9),2)</f>
        <v>23.16</v>
      </c>
      <c r="I92" s="68" t="e">
        <f>ROUND((H92*F92),2)</f>
        <v>#REF!</v>
      </c>
      <c r="J92" s="159"/>
      <c r="K92" s="425"/>
      <c r="L92" s="294"/>
    </row>
    <row r="93" spans="1:12" ht="15.75" hidden="1" thickBot="1" x14ac:dyDescent="0.3">
      <c r="A93" s="269"/>
      <c r="B93" s="270"/>
      <c r="C93" s="270"/>
      <c r="D93" s="270"/>
      <c r="E93" s="270"/>
      <c r="F93" s="343"/>
      <c r="G93" s="270"/>
      <c r="H93" s="271" t="s">
        <v>166</v>
      </c>
      <c r="I93" s="272"/>
      <c r="J93" s="157"/>
      <c r="K93" s="425"/>
    </row>
    <row r="94" spans="1:12" ht="4.5" hidden="1" customHeight="1" thickBot="1" x14ac:dyDescent="0.3">
      <c r="A94" s="70"/>
      <c r="B94" s="62"/>
      <c r="C94" s="62"/>
      <c r="D94" s="62"/>
      <c r="E94" s="62"/>
      <c r="F94" s="344"/>
      <c r="G94" s="62"/>
      <c r="H94" s="62"/>
      <c r="I94" s="71"/>
      <c r="J94" s="158"/>
      <c r="K94" s="425"/>
    </row>
    <row r="95" spans="1:12" hidden="1" x14ac:dyDescent="0.25">
      <c r="A95" s="261"/>
      <c r="B95" s="262">
        <v>10</v>
      </c>
      <c r="C95" s="263"/>
      <c r="D95" s="264" t="s">
        <v>210</v>
      </c>
      <c r="E95" s="265"/>
      <c r="F95" s="263"/>
      <c r="G95" s="266"/>
      <c r="H95" s="267"/>
      <c r="I95" s="268"/>
      <c r="J95" s="186"/>
      <c r="K95" s="425"/>
    </row>
    <row r="96" spans="1:12" hidden="1" x14ac:dyDescent="0.25">
      <c r="A96" s="67" t="s">
        <v>118</v>
      </c>
      <c r="B96" s="28" t="s">
        <v>212</v>
      </c>
      <c r="C96" s="9" t="s">
        <v>215</v>
      </c>
      <c r="D96" s="421" t="s">
        <v>218</v>
      </c>
      <c r="E96" s="422" t="s">
        <v>211</v>
      </c>
      <c r="F96" s="422">
        <v>1</v>
      </c>
      <c r="G96" s="25" t="e">
        <f>#REF!</f>
        <v>#REF!</v>
      </c>
      <c r="H96" s="24" t="e">
        <f>ROUND((G96*$K$9),2)</f>
        <v>#REF!</v>
      </c>
      <c r="I96" s="68" t="e">
        <f>ROUND((H96*F96),2)</f>
        <v>#REF!</v>
      </c>
      <c r="J96" s="186"/>
      <c r="K96" s="425"/>
    </row>
    <row r="97" spans="1:12" hidden="1" x14ac:dyDescent="0.25">
      <c r="A97" s="67" t="s">
        <v>118</v>
      </c>
      <c r="B97" s="28" t="s">
        <v>213</v>
      </c>
      <c r="C97" s="9" t="s">
        <v>216</v>
      </c>
      <c r="D97" s="421" t="s">
        <v>219</v>
      </c>
      <c r="E97" s="422" t="s">
        <v>211</v>
      </c>
      <c r="F97" s="422">
        <v>1</v>
      </c>
      <c r="G97" s="25" t="e">
        <f>#REF!</f>
        <v>#REF!</v>
      </c>
      <c r="H97" s="24" t="e">
        <f>ROUND((G97*$K$9),2)</f>
        <v>#REF!</v>
      </c>
      <c r="I97" s="68" t="e">
        <f>ROUND((H97*F97),2)</f>
        <v>#REF!</v>
      </c>
      <c r="J97" s="186"/>
      <c r="K97" s="425"/>
    </row>
    <row r="98" spans="1:12" hidden="1" x14ac:dyDescent="0.25">
      <c r="A98" s="67" t="s">
        <v>118</v>
      </c>
      <c r="B98" s="28" t="s">
        <v>214</v>
      </c>
      <c r="C98" s="9" t="s">
        <v>217</v>
      </c>
      <c r="D98" s="421" t="s">
        <v>220</v>
      </c>
      <c r="E98" s="422" t="s">
        <v>211</v>
      </c>
      <c r="F98" s="422">
        <v>1</v>
      </c>
      <c r="G98" s="25" t="e">
        <f>#REF!</f>
        <v>#REF!</v>
      </c>
      <c r="H98" s="24" t="e">
        <f>ROUND((G98*$K$9),2)</f>
        <v>#REF!</v>
      </c>
      <c r="I98" s="68" t="e">
        <f>ROUND((H98*F98),2)</f>
        <v>#REF!</v>
      </c>
      <c r="J98" s="186"/>
      <c r="K98" s="425"/>
    </row>
    <row r="99" spans="1:12" ht="15.75" hidden="1" thickBot="1" x14ac:dyDescent="0.3">
      <c r="A99" s="400"/>
      <c r="B99" s="399"/>
      <c r="C99" s="399"/>
      <c r="D99" s="399"/>
      <c r="E99" s="399"/>
      <c r="F99" s="398"/>
      <c r="G99" s="399"/>
      <c r="H99" s="419"/>
      <c r="I99" s="420"/>
      <c r="J99" s="186"/>
      <c r="K99" s="425"/>
    </row>
    <row r="100" spans="1:12" ht="15.75" thickBot="1" x14ac:dyDescent="0.3">
      <c r="A100" s="70"/>
      <c r="B100" s="62"/>
      <c r="C100" s="62"/>
      <c r="D100" s="62"/>
      <c r="E100" s="62"/>
      <c r="F100" s="344"/>
      <c r="G100" s="62"/>
      <c r="H100" s="62"/>
      <c r="I100" s="71"/>
      <c r="K100" s="296"/>
      <c r="L100" s="301"/>
    </row>
    <row r="101" spans="1:12" ht="16.5" thickBot="1" x14ac:dyDescent="0.3">
      <c r="A101" s="509" t="s">
        <v>83</v>
      </c>
      <c r="B101" s="510"/>
      <c r="C101" s="510"/>
      <c r="D101" s="510"/>
      <c r="E101" s="510"/>
      <c r="F101" s="510"/>
      <c r="G101" s="510"/>
      <c r="H101" s="510"/>
      <c r="I101" s="275">
        <f>I80+I56+I49+I39+I33+I24+I20+I14</f>
        <v>2833605.2</v>
      </c>
      <c r="K101" s="425"/>
      <c r="L101" s="301"/>
    </row>
    <row r="102" spans="1:12" x14ac:dyDescent="0.25">
      <c r="A102" s="281"/>
      <c r="B102" s="281"/>
      <c r="C102" s="281"/>
      <c r="D102" s="281"/>
      <c r="E102" s="281"/>
      <c r="F102" s="345"/>
      <c r="G102" s="281"/>
      <c r="H102" s="282"/>
      <c r="I102" s="150"/>
      <c r="K102" s="296">
        <v>59767319.670000002</v>
      </c>
      <c r="L102" s="301"/>
    </row>
    <row r="103" spans="1:12" x14ac:dyDescent="0.25">
      <c r="H103" s="284"/>
      <c r="I103" s="186"/>
      <c r="J103" s="186"/>
    </row>
    <row r="104" spans="1:12" x14ac:dyDescent="0.25">
      <c r="H104" s="284"/>
      <c r="I104" s="186">
        <v>1803910.2</v>
      </c>
      <c r="J104" s="291"/>
    </row>
    <row r="105" spans="1:12" ht="15.75" x14ac:dyDescent="0.25">
      <c r="H105" s="284"/>
      <c r="I105" s="287">
        <f>I101-I104</f>
        <v>1029695.0000000002</v>
      </c>
      <c r="J105" s="291"/>
      <c r="K105" s="425">
        <f>K102-I101</f>
        <v>56933714.469999999</v>
      </c>
    </row>
    <row r="106" spans="1:12" x14ac:dyDescent="0.25">
      <c r="J106" s="291"/>
    </row>
    <row r="107" spans="1:12" x14ac:dyDescent="0.25">
      <c r="E107" s="505"/>
      <c r="F107" s="505"/>
      <c r="G107" s="300"/>
      <c r="I107" s="186"/>
      <c r="J107" s="291"/>
      <c r="K107" s="301"/>
    </row>
    <row r="108" spans="1:12" x14ac:dyDescent="0.25">
      <c r="I108" s="186"/>
      <c r="K108" s="301"/>
    </row>
    <row r="109" spans="1:12" ht="18.75" x14ac:dyDescent="0.3">
      <c r="I109" s="311"/>
    </row>
    <row r="110" spans="1:12" x14ac:dyDescent="0.25">
      <c r="G110" s="299"/>
      <c r="I110" s="186"/>
    </row>
    <row r="111" spans="1:12" x14ac:dyDescent="0.25">
      <c r="I111" s="186"/>
    </row>
    <row r="112" spans="1:12" x14ac:dyDescent="0.25">
      <c r="I112" s="186"/>
      <c r="J112" s="291"/>
    </row>
    <row r="113" spans="6:11" x14ac:dyDescent="0.25">
      <c r="G113" s="310"/>
      <c r="J113" s="291"/>
      <c r="K113" s="301"/>
    </row>
    <row r="114" spans="6:11" x14ac:dyDescent="0.25">
      <c r="G114" s="417"/>
      <c r="K114" s="301"/>
    </row>
    <row r="115" spans="6:11" ht="18.75" x14ac:dyDescent="0.3">
      <c r="I115" s="312"/>
    </row>
    <row r="116" spans="6:11" x14ac:dyDescent="0.25">
      <c r="I116" s="186"/>
    </row>
    <row r="117" spans="6:11" x14ac:dyDescent="0.25">
      <c r="I117" s="322"/>
    </row>
    <row r="118" spans="6:11" x14ac:dyDescent="0.25">
      <c r="I118" s="291"/>
    </row>
    <row r="120" spans="6:11" x14ac:dyDescent="0.25">
      <c r="I120" s="291"/>
    </row>
    <row r="122" spans="6:11" x14ac:dyDescent="0.25">
      <c r="F122" s="505"/>
      <c r="G122" s="505"/>
    </row>
    <row r="123" spans="6:11" x14ac:dyDescent="0.25">
      <c r="G123" s="418"/>
    </row>
    <row r="125" spans="6:11" x14ac:dyDescent="0.25">
      <c r="G125" s="418"/>
      <c r="I125" s="291"/>
    </row>
  </sheetData>
  <mergeCells count="10">
    <mergeCell ref="F122:G122"/>
    <mergeCell ref="E107:F107"/>
    <mergeCell ref="A2:I2"/>
    <mergeCell ref="A3:I3"/>
    <mergeCell ref="A4:I4"/>
    <mergeCell ref="A5:I5"/>
    <mergeCell ref="A101:H101"/>
    <mergeCell ref="A7:F9"/>
    <mergeCell ref="H7:H9"/>
    <mergeCell ref="G7:G9"/>
  </mergeCells>
  <phoneticPr fontId="71" type="noConversion"/>
  <dataValidations count="2">
    <dataValidation type="list" allowBlank="1" sqref="A13:B13 B16:B19 B26 D27 B35:B38 D42 B22:B23 A14:A100 B66:B68 B58:B64 B28:B32 D45 B41:B48 B82:B88 B90:B92 B78:B79 B51:B55">
      <formula1>"SINAPI,SINAPI-I,SICRO,Composição,Cotação"</formula1>
      <formula2>0</formula2>
    </dataValidation>
    <dataValidation type="decimal" operator="greaterThan" allowBlank="1" showErrorMessage="1" error="Apenas números decimais maiores que zero." sqref="J17 G13 G29:G30 G26 G16 G32 G22:G23 G35:G38 G58:G64 G18:G19 G51:G54 G66:G68 G41:G48 G82:G88 G90:G92 G78:G79">
      <formula1>0</formula1>
      <formula2>0</formula2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rowBreaks count="1" manualBreakCount="1">
    <brk id="101" max="16383" man="1"/>
  </rowBreaks>
  <ignoredErrors>
    <ignoredError sqref="B14:F14 A19:B19 F18 A68 E68 A16 C16:F16 E17:F17 B13 B17 B18 H16" unlockedFormula="1"/>
    <ignoredError sqref="B16" numberStoredAsText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4"/>
  <sheetViews>
    <sheetView view="pageBreakPreview" topLeftCell="A5" zoomScaleNormal="100" zoomScaleSheetLayoutView="100" workbookViewId="0">
      <selection activeCell="E13" sqref="E13"/>
    </sheetView>
  </sheetViews>
  <sheetFormatPr defaultColWidth="9.140625" defaultRowHeight="14.25" x14ac:dyDescent="0.2"/>
  <cols>
    <col min="1" max="1" width="9.140625" style="46"/>
    <col min="2" max="2" width="12.5703125" style="46" customWidth="1"/>
    <col min="3" max="3" width="9.5703125" style="46" customWidth="1"/>
    <col min="4" max="4" width="10.85546875" style="46" customWidth="1"/>
    <col min="5" max="5" width="18.85546875" style="46" customWidth="1"/>
    <col min="6" max="7" width="9.140625" style="46"/>
    <col min="8" max="8" width="14.5703125" style="46" customWidth="1"/>
    <col min="9" max="9" width="9.140625" style="46"/>
    <col min="10" max="10" width="9.85546875" style="46" bestFit="1" customWidth="1"/>
    <col min="11" max="11" width="9.140625" style="46"/>
    <col min="12" max="12" width="19.7109375" style="46" customWidth="1"/>
    <col min="13" max="16384" width="9.140625" style="46"/>
  </cols>
  <sheetData>
    <row r="1" spans="1:14" ht="18" customHeight="1" x14ac:dyDescent="0.25">
      <c r="A1" s="534"/>
      <c r="B1" s="534"/>
      <c r="C1" s="534"/>
      <c r="D1" s="534"/>
      <c r="E1" s="534"/>
      <c r="F1" s="534"/>
      <c r="G1" s="534"/>
      <c r="H1" s="534"/>
      <c r="I1" s="348"/>
      <c r="J1" s="349"/>
      <c r="K1" s="349"/>
    </row>
    <row r="2" spans="1:14" ht="18" customHeight="1" x14ac:dyDescent="0.25">
      <c r="A2" s="534"/>
      <c r="B2" s="534"/>
      <c r="C2" s="534"/>
      <c r="D2" s="534"/>
      <c r="E2" s="534"/>
      <c r="F2" s="534"/>
      <c r="G2" s="534"/>
      <c r="H2" s="534"/>
      <c r="I2" s="349"/>
      <c r="J2" s="349"/>
      <c r="K2" s="349"/>
    </row>
    <row r="3" spans="1:14" ht="18" customHeight="1" x14ac:dyDescent="0.25">
      <c r="A3" s="534"/>
      <c r="B3" s="534"/>
      <c r="C3" s="534"/>
      <c r="D3" s="534"/>
      <c r="E3" s="534"/>
      <c r="F3" s="534"/>
      <c r="G3" s="534"/>
      <c r="H3" s="534"/>
      <c r="I3" s="348"/>
      <c r="J3" s="350"/>
      <c r="K3" s="350"/>
    </row>
    <row r="4" spans="1:14" ht="32.25" customHeight="1" x14ac:dyDescent="0.25">
      <c r="A4" s="535" t="str">
        <f>'ORÇAMENTO DESONERADO'!A5:I5</f>
        <v>EXECUÇÃO DOS SERVIÇOS DE DRENAGEM SUPERFICIAL E PAVIMENTAÇÃO ASFÁLTICA DE VIAS EM GARRAFÃO DO NORTE</v>
      </c>
      <c r="B4" s="535"/>
      <c r="C4" s="535"/>
      <c r="D4" s="535"/>
      <c r="E4" s="535"/>
      <c r="F4" s="535"/>
      <c r="G4" s="535"/>
      <c r="H4" s="535"/>
      <c r="I4" s="535"/>
      <c r="J4" s="535"/>
      <c r="K4" s="350"/>
    </row>
    <row r="6" spans="1:14" ht="15" x14ac:dyDescent="0.2">
      <c r="B6" s="533" t="s">
        <v>0</v>
      </c>
      <c r="C6" s="533"/>
      <c r="D6" s="533"/>
      <c r="E6" s="533"/>
      <c r="F6" s="533"/>
      <c r="G6" s="533"/>
      <c r="H6" s="533"/>
    </row>
    <row r="7" spans="1:14" ht="14.85" customHeight="1" x14ac:dyDescent="0.2">
      <c r="B7" s="101"/>
      <c r="C7" s="101"/>
      <c r="D7" s="101"/>
      <c r="E7" s="101"/>
      <c r="F7" s="101"/>
      <c r="G7" s="101"/>
      <c r="H7" s="101"/>
    </row>
    <row r="8" spans="1:14" ht="14.85" customHeight="1" x14ac:dyDescent="0.2">
      <c r="B8" s="533" t="s">
        <v>1</v>
      </c>
      <c r="C8" s="533"/>
      <c r="D8" s="533"/>
      <c r="E8" s="533"/>
      <c r="F8" s="533"/>
      <c r="G8" s="533"/>
      <c r="H8" s="533"/>
    </row>
    <row r="9" spans="1:14" x14ac:dyDescent="0.2">
      <c r="B9" s="523" t="s">
        <v>245</v>
      </c>
      <c r="C9" s="523"/>
      <c r="D9" s="523"/>
      <c r="E9" s="411" t="s">
        <v>3</v>
      </c>
      <c r="F9" s="411"/>
      <c r="G9" s="410" t="s">
        <v>4</v>
      </c>
      <c r="H9" s="410" t="s">
        <v>5</v>
      </c>
      <c r="N9" s="351"/>
    </row>
    <row r="10" spans="1:14" ht="14.85" customHeight="1" x14ac:dyDescent="0.2">
      <c r="B10" s="523"/>
      <c r="C10" s="523"/>
      <c r="D10" s="523"/>
      <c r="E10" s="340" t="s">
        <v>6</v>
      </c>
      <c r="F10" s="164" t="s">
        <v>7</v>
      </c>
      <c r="G10" s="341" t="s">
        <v>6</v>
      </c>
      <c r="H10" s="341" t="s">
        <v>8</v>
      </c>
    </row>
    <row r="11" spans="1:14" ht="30" customHeight="1" x14ac:dyDescent="0.2">
      <c r="B11" s="527" t="s">
        <v>318</v>
      </c>
      <c r="C11" s="528"/>
      <c r="D11" s="529"/>
      <c r="E11" s="315">
        <v>1400</v>
      </c>
      <c r="F11" s="315">
        <f>E11/1000</f>
        <v>1.4</v>
      </c>
      <c r="G11" s="315">
        <v>6</v>
      </c>
      <c r="H11" s="315">
        <f>ROUND(E11*G11,2)</f>
        <v>8400</v>
      </c>
    </row>
    <row r="12" spans="1:14" ht="30" customHeight="1" x14ac:dyDescent="0.2">
      <c r="B12" s="530" t="s">
        <v>317</v>
      </c>
      <c r="C12" s="531"/>
      <c r="D12" s="532"/>
      <c r="E12" s="315">
        <v>600</v>
      </c>
      <c r="F12" s="315">
        <f>E12/1000</f>
        <v>0.6</v>
      </c>
      <c r="G12" s="315">
        <v>6</v>
      </c>
      <c r="H12" s="315">
        <f>ROUND(E12*G12,2)</f>
        <v>3600</v>
      </c>
    </row>
    <row r="13" spans="1:14" ht="15" x14ac:dyDescent="0.2">
      <c r="B13" s="524"/>
      <c r="C13" s="525"/>
      <c r="D13" s="526"/>
      <c r="E13" s="5">
        <f>ROUND(SUM(E11:E12),2)</f>
        <v>2000</v>
      </c>
      <c r="F13" s="5">
        <f>ROUND(SUM(F11:F12),2)</f>
        <v>2</v>
      </c>
      <c r="G13" s="5"/>
      <c r="H13" s="5">
        <f>ROUND(SUM(H11:H12),2)</f>
        <v>12000</v>
      </c>
    </row>
    <row r="14" spans="1:14" ht="15" x14ac:dyDescent="0.2">
      <c r="B14" s="102"/>
      <c r="C14" s="98"/>
      <c r="D14" s="98"/>
      <c r="E14" s="98"/>
      <c r="F14" s="98"/>
      <c r="G14" s="98"/>
      <c r="H14" s="98"/>
    </row>
    <row r="15" spans="1:14" ht="15" x14ac:dyDescent="0.2">
      <c r="B15" s="102"/>
      <c r="C15" s="98"/>
      <c r="D15" s="98"/>
      <c r="E15" s="98"/>
      <c r="F15" s="98"/>
      <c r="G15" s="98"/>
      <c r="H15" s="98"/>
    </row>
    <row r="16" spans="1:14" ht="15" x14ac:dyDescent="0.2">
      <c r="B16" s="212" t="s">
        <v>10</v>
      </c>
      <c r="C16" s="212"/>
      <c r="D16" s="212"/>
      <c r="E16" s="212"/>
      <c r="F16" s="98"/>
      <c r="G16" s="98"/>
      <c r="H16" s="98"/>
    </row>
    <row r="17" spans="2:10" ht="15" x14ac:dyDescent="0.2">
      <c r="B17" s="523" t="s">
        <v>106</v>
      </c>
      <c r="C17" s="523"/>
      <c r="D17" s="523"/>
      <c r="E17" s="163" t="s">
        <v>107</v>
      </c>
      <c r="F17" s="100"/>
      <c r="G17" s="98"/>
      <c r="H17" s="336"/>
    </row>
    <row r="18" spans="2:10" ht="15" x14ac:dyDescent="0.2">
      <c r="B18" s="523"/>
      <c r="C18" s="523"/>
      <c r="D18" s="523"/>
      <c r="E18" s="164" t="s">
        <v>7</v>
      </c>
      <c r="F18" s="100"/>
      <c r="G18" s="99"/>
      <c r="H18" s="336"/>
    </row>
    <row r="19" spans="2:10" ht="15" x14ac:dyDescent="0.2">
      <c r="B19" s="523" t="s">
        <v>126</v>
      </c>
      <c r="C19" s="523"/>
      <c r="D19" s="523"/>
      <c r="E19" s="164">
        <v>10</v>
      </c>
      <c r="F19" s="100"/>
      <c r="G19" s="99"/>
      <c r="H19" s="336"/>
    </row>
    <row r="20" spans="2:10" ht="15" x14ac:dyDescent="0.2">
      <c r="B20" s="523" t="s">
        <v>139</v>
      </c>
      <c r="C20" s="523"/>
      <c r="D20" s="523"/>
      <c r="E20" s="164">
        <v>10</v>
      </c>
      <c r="F20" s="100"/>
      <c r="G20" s="99"/>
      <c r="H20" s="336"/>
    </row>
    <row r="21" spans="2:10" x14ac:dyDescent="0.2">
      <c r="B21" s="523" t="s">
        <v>141</v>
      </c>
      <c r="C21" s="523"/>
      <c r="D21" s="523"/>
      <c r="E21" s="164">
        <v>10</v>
      </c>
    </row>
    <row r="22" spans="2:10" x14ac:dyDescent="0.2">
      <c r="I22" s="336"/>
      <c r="J22" s="336"/>
    </row>
    <row r="23" spans="2:10" x14ac:dyDescent="0.2">
      <c r="I23" s="336"/>
      <c r="J23" s="336"/>
    </row>
    <row r="24" spans="2:10" x14ac:dyDescent="0.2">
      <c r="I24" s="336"/>
      <c r="J24" s="336"/>
    </row>
    <row r="25" spans="2:10" ht="6.75" customHeight="1" x14ac:dyDescent="0.2"/>
    <row r="34" spans="10:10" x14ac:dyDescent="0.2">
      <c r="J34" s="46">
        <f>46/12</f>
        <v>3.8333333333333335</v>
      </c>
    </row>
  </sheetData>
  <mergeCells count="14">
    <mergeCell ref="B8:H8"/>
    <mergeCell ref="A2:H2"/>
    <mergeCell ref="A1:H1"/>
    <mergeCell ref="A3:H3"/>
    <mergeCell ref="B6:H6"/>
    <mergeCell ref="A4:J4"/>
    <mergeCell ref="B21:D21"/>
    <mergeCell ref="B19:D19"/>
    <mergeCell ref="B20:D20"/>
    <mergeCell ref="B9:D10"/>
    <mergeCell ref="B17:D18"/>
    <mergeCell ref="B13:D13"/>
    <mergeCell ref="B11:D11"/>
    <mergeCell ref="B12:D12"/>
  </mergeCells>
  <pageMargins left="0.51181102362204722" right="0.51181102362204722" top="0.78740157480314965" bottom="0.78740157480314965" header="0.31496062992125984" footer="0.31496062992125984"/>
  <pageSetup paperSize="9" scale="76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5"/>
  <sheetViews>
    <sheetView view="pageBreakPreview" zoomScale="82" zoomScaleNormal="100" zoomScaleSheetLayoutView="82" workbookViewId="0">
      <selection activeCell="A14" sqref="A14:H14"/>
    </sheetView>
  </sheetViews>
  <sheetFormatPr defaultRowHeight="15" x14ac:dyDescent="0.25"/>
  <cols>
    <col min="2" max="2" width="11.85546875" customWidth="1"/>
    <col min="3" max="3" width="11.28515625" customWidth="1"/>
    <col min="4" max="4" width="12.140625" customWidth="1"/>
    <col min="5" max="5" width="28.28515625" customWidth="1"/>
    <col min="8" max="8" width="11.85546875" customWidth="1"/>
    <col min="9" max="9" width="16" bestFit="1" customWidth="1"/>
    <col min="11" max="11" width="11" bestFit="1" customWidth="1"/>
    <col min="12" max="12" width="17" bestFit="1" customWidth="1"/>
    <col min="14" max="14" width="15" bestFit="1" customWidth="1"/>
    <col min="17" max="17" width="15" bestFit="1" customWidth="1"/>
  </cols>
  <sheetData>
    <row r="1" spans="1:17" ht="18.75" customHeight="1" x14ac:dyDescent="0.25">
      <c r="A1" s="506"/>
      <c r="B1" s="506"/>
      <c r="C1" s="506"/>
      <c r="D1" s="506"/>
      <c r="E1" s="506"/>
      <c r="F1" s="506"/>
      <c r="G1" s="506"/>
      <c r="H1" s="506"/>
      <c r="I1" s="307"/>
    </row>
    <row r="2" spans="1:17" ht="18.75" customHeight="1" x14ac:dyDescent="0.25">
      <c r="A2" s="506"/>
      <c r="B2" s="506"/>
      <c r="C2" s="506"/>
      <c r="D2" s="506"/>
      <c r="E2" s="506"/>
      <c r="F2" s="506"/>
      <c r="G2" s="506"/>
      <c r="H2" s="506"/>
      <c r="I2" s="307"/>
    </row>
    <row r="3" spans="1:17" ht="18.75" customHeight="1" x14ac:dyDescent="0.25">
      <c r="A3" s="506"/>
      <c r="B3" s="506"/>
      <c r="C3" s="506"/>
      <c r="D3" s="506"/>
      <c r="E3" s="506"/>
      <c r="F3" s="506"/>
      <c r="G3" s="506"/>
      <c r="H3" s="506"/>
      <c r="I3" s="308"/>
    </row>
    <row r="4" spans="1:17" ht="27" customHeight="1" x14ac:dyDescent="0.25">
      <c r="A4" s="548" t="str">
        <f>'ORÇAMENTO DESONERADO'!A5:I5</f>
        <v>EXECUÇÃO DOS SERVIÇOS DE DRENAGEM SUPERFICIAL E PAVIMENTAÇÃO ASFÁLTICA DE VIAS EM GARRAFÃO DO NORTE</v>
      </c>
      <c r="B4" s="548"/>
      <c r="C4" s="548"/>
      <c r="D4" s="548"/>
      <c r="E4" s="548"/>
      <c r="F4" s="548"/>
      <c r="G4" s="548"/>
      <c r="H4" s="548"/>
      <c r="I4" s="548"/>
    </row>
    <row r="6" spans="1:17" x14ac:dyDescent="0.25">
      <c r="A6" s="276">
        <f>'ORÇAMENTO DESONERADO'!B12</f>
        <v>1</v>
      </c>
      <c r="B6" s="544" t="str">
        <f>'ORÇAMENTO DESONERADO'!D12</f>
        <v>ADMINISTRAÇÃO LOCAL</v>
      </c>
      <c r="C6" s="544"/>
      <c r="D6" s="544"/>
      <c r="E6" s="544"/>
      <c r="F6" s="544"/>
      <c r="G6" s="544"/>
      <c r="H6" s="544"/>
      <c r="I6" s="545"/>
    </row>
    <row r="7" spans="1:17" x14ac:dyDescent="0.25">
      <c r="K7" s="216"/>
    </row>
    <row r="8" spans="1:17" x14ac:dyDescent="0.25">
      <c r="A8" s="541" t="s">
        <v>127</v>
      </c>
      <c r="B8" s="541"/>
      <c r="C8" s="541"/>
      <c r="D8" s="541"/>
      <c r="E8" s="541"/>
      <c r="F8" s="541"/>
      <c r="G8" s="541"/>
      <c r="H8" s="541"/>
      <c r="I8" s="541"/>
    </row>
    <row r="9" spans="1:17" x14ac:dyDescent="0.25">
      <c r="A9" s="546" t="s">
        <v>85</v>
      </c>
      <c r="B9" s="547" t="s">
        <v>86</v>
      </c>
      <c r="C9" s="546" t="s">
        <v>103</v>
      </c>
      <c r="D9" s="546"/>
      <c r="E9" s="546"/>
      <c r="F9" s="547" t="s">
        <v>128</v>
      </c>
      <c r="G9" s="547" t="s">
        <v>104</v>
      </c>
      <c r="H9" s="547" t="s">
        <v>129</v>
      </c>
      <c r="I9" s="547"/>
      <c r="L9" s="323"/>
    </row>
    <row r="10" spans="1:17" x14ac:dyDescent="0.25">
      <c r="A10" s="546"/>
      <c r="B10" s="547"/>
      <c r="C10" s="546"/>
      <c r="D10" s="546"/>
      <c r="E10" s="546"/>
      <c r="F10" s="547"/>
      <c r="G10" s="547"/>
      <c r="H10" s="169" t="s">
        <v>130</v>
      </c>
      <c r="I10" s="169" t="s">
        <v>9</v>
      </c>
    </row>
    <row r="11" spans="1:17" x14ac:dyDescent="0.25">
      <c r="A11" s="170" t="s">
        <v>20</v>
      </c>
      <c r="B11" s="170">
        <v>90778</v>
      </c>
      <c r="C11" s="539" t="s">
        <v>18</v>
      </c>
      <c r="D11" s="539"/>
      <c r="E11" s="539"/>
      <c r="F11" s="171" t="s">
        <v>16</v>
      </c>
      <c r="G11" s="171">
        <f>G18</f>
        <v>264</v>
      </c>
      <c r="H11" s="352">
        <v>93.3</v>
      </c>
      <c r="I11" s="172">
        <f>ROUND(G11*H11,2)</f>
        <v>24631.200000000001</v>
      </c>
    </row>
    <row r="12" spans="1:17" x14ac:dyDescent="0.25">
      <c r="A12" s="170" t="s">
        <v>20</v>
      </c>
      <c r="B12" s="170">
        <v>90776</v>
      </c>
      <c r="C12" s="539" t="s">
        <v>19</v>
      </c>
      <c r="D12" s="539"/>
      <c r="E12" s="539"/>
      <c r="F12" s="171" t="s">
        <v>16</v>
      </c>
      <c r="G12" s="171">
        <f>G19</f>
        <v>264</v>
      </c>
      <c r="H12" s="352">
        <v>18.510000000000002</v>
      </c>
      <c r="I12" s="172">
        <f>ROUND(G12*H12,2)</f>
        <v>4886.6400000000003</v>
      </c>
    </row>
    <row r="13" spans="1:17" x14ac:dyDescent="0.25">
      <c r="A13" s="170" t="s">
        <v>20</v>
      </c>
      <c r="B13" s="170">
        <v>88326</v>
      </c>
      <c r="C13" s="539" t="s">
        <v>131</v>
      </c>
      <c r="D13" s="539"/>
      <c r="E13" s="539"/>
      <c r="F13" s="171" t="s">
        <v>16</v>
      </c>
      <c r="G13" s="171">
        <f>G20</f>
        <v>352</v>
      </c>
      <c r="H13" s="352">
        <v>21.5</v>
      </c>
      <c r="I13" s="172">
        <f>ROUND(G13*H13,2)</f>
        <v>7568</v>
      </c>
    </row>
    <row r="14" spans="1:17" x14ac:dyDescent="0.25">
      <c r="A14" s="540" t="s">
        <v>9</v>
      </c>
      <c r="B14" s="540"/>
      <c r="C14" s="540"/>
      <c r="D14" s="540"/>
      <c r="E14" s="540"/>
      <c r="F14" s="540"/>
      <c r="G14" s="540"/>
      <c r="H14" s="540"/>
      <c r="I14" s="173">
        <f>SUM(I11:I13)</f>
        <v>37085.839999999997</v>
      </c>
      <c r="L14" s="323"/>
      <c r="N14" s="279"/>
      <c r="P14" s="314"/>
      <c r="Q14" s="279"/>
    </row>
    <row r="15" spans="1:17" x14ac:dyDescent="0.25">
      <c r="A15" s="174"/>
      <c r="B15" s="175"/>
      <c r="C15" s="175"/>
      <c r="D15" s="175"/>
      <c r="E15" s="175"/>
      <c r="F15" s="175"/>
      <c r="G15" s="175"/>
      <c r="H15" s="175"/>
      <c r="I15" s="176"/>
    </row>
    <row r="16" spans="1:17" x14ac:dyDescent="0.25">
      <c r="A16" s="541" t="s">
        <v>132</v>
      </c>
      <c r="B16" s="541"/>
      <c r="C16" s="541"/>
      <c r="D16" s="541"/>
      <c r="E16" s="541"/>
      <c r="F16" s="541"/>
      <c r="G16" s="541"/>
      <c r="H16" s="175"/>
      <c r="I16" s="176"/>
      <c r="J16" s="185"/>
    </row>
    <row r="17" spans="1:14" x14ac:dyDescent="0.25">
      <c r="A17" s="542" t="s">
        <v>133</v>
      </c>
      <c r="B17" s="543"/>
      <c r="C17" s="177" t="s">
        <v>11</v>
      </c>
      <c r="D17" s="178" t="s">
        <v>12</v>
      </c>
      <c r="E17" s="537" t="s">
        <v>13</v>
      </c>
      <c r="F17" s="538"/>
      <c r="G17" s="179"/>
      <c r="H17" s="180"/>
      <c r="I17" s="181"/>
      <c r="J17" s="75"/>
    </row>
    <row r="18" spans="1:14" x14ac:dyDescent="0.25">
      <c r="A18" s="536" t="s">
        <v>134</v>
      </c>
      <c r="B18" s="536"/>
      <c r="C18" s="313">
        <v>6</v>
      </c>
      <c r="D18" s="177">
        <v>22</v>
      </c>
      <c r="E18" s="177">
        <v>2</v>
      </c>
      <c r="F18" s="179" t="s">
        <v>40</v>
      </c>
      <c r="G18" s="476">
        <f>ROUND((C18*D18*E18),2)</f>
        <v>264</v>
      </c>
      <c r="H18" s="180"/>
      <c r="I18" s="181"/>
      <c r="J18" s="75"/>
      <c r="L18" s="475">
        <f>'ORÇAMENTO DESONERADO'!I105</f>
        <v>1029695.0000000002</v>
      </c>
      <c r="N18" s="279"/>
    </row>
    <row r="19" spans="1:14" x14ac:dyDescent="0.25">
      <c r="A19" s="536" t="s">
        <v>135</v>
      </c>
      <c r="B19" s="536"/>
      <c r="C19" s="313">
        <v>6</v>
      </c>
      <c r="D19" s="177">
        <v>22</v>
      </c>
      <c r="E19" s="177">
        <v>2</v>
      </c>
      <c r="F19" s="179" t="s">
        <v>40</v>
      </c>
      <c r="G19" s="179">
        <f>ROUND((C19*D19*E19),2)</f>
        <v>264</v>
      </c>
      <c r="H19" s="180"/>
      <c r="I19" s="181"/>
    </row>
    <row r="20" spans="1:14" x14ac:dyDescent="0.25">
      <c r="A20" s="536" t="s">
        <v>136</v>
      </c>
      <c r="B20" s="536"/>
      <c r="C20" s="313">
        <v>8</v>
      </c>
      <c r="D20" s="177">
        <v>22</v>
      </c>
      <c r="E20" s="177">
        <v>2</v>
      </c>
      <c r="F20" s="179" t="s">
        <v>40</v>
      </c>
      <c r="G20" s="179">
        <f>ROUND((C20*D20*E20),2)</f>
        <v>352</v>
      </c>
      <c r="H20" s="182"/>
      <c r="I20" s="183"/>
      <c r="L20" s="279"/>
    </row>
    <row r="21" spans="1:14" x14ac:dyDescent="0.25">
      <c r="A21" s="184"/>
      <c r="B21" s="185"/>
      <c r="C21" s="185"/>
      <c r="D21" s="185"/>
      <c r="E21" s="185"/>
      <c r="F21" s="185"/>
      <c r="G21" s="185"/>
      <c r="H21" s="185"/>
      <c r="I21" s="185"/>
    </row>
    <row r="22" spans="1:14" x14ac:dyDescent="0.25">
      <c r="A22" s="75"/>
      <c r="B22" s="75"/>
      <c r="C22" s="75"/>
      <c r="D22" s="75"/>
      <c r="E22" s="75"/>
      <c r="F22" s="75"/>
      <c r="G22" s="75"/>
      <c r="H22" s="75"/>
      <c r="I22" s="75"/>
      <c r="L22" s="323"/>
    </row>
    <row r="23" spans="1:14" x14ac:dyDescent="0.25">
      <c r="A23" s="75"/>
      <c r="B23" s="75"/>
      <c r="C23" s="75"/>
      <c r="D23" s="75"/>
      <c r="E23" s="75"/>
      <c r="F23" s="75"/>
      <c r="G23" s="75"/>
      <c r="H23" s="75"/>
      <c r="I23" s="75"/>
      <c r="L23" s="279"/>
    </row>
    <row r="25" spans="1:14" x14ac:dyDescent="0.25">
      <c r="C25">
        <v>3.3450000000000002</v>
      </c>
    </row>
  </sheetData>
  <mergeCells count="22">
    <mergeCell ref="A1:H1"/>
    <mergeCell ref="A2:H2"/>
    <mergeCell ref="A3:H3"/>
    <mergeCell ref="A18:B18"/>
    <mergeCell ref="C11:E11"/>
    <mergeCell ref="B6:I6"/>
    <mergeCell ref="A8:I8"/>
    <mergeCell ref="A9:A10"/>
    <mergeCell ref="B9:B10"/>
    <mergeCell ref="C9:E10"/>
    <mergeCell ref="F9:F10"/>
    <mergeCell ref="G9:G10"/>
    <mergeCell ref="H9:I9"/>
    <mergeCell ref="A4:I4"/>
    <mergeCell ref="A19:B19"/>
    <mergeCell ref="A20:B20"/>
    <mergeCell ref="E17:F17"/>
    <mergeCell ref="C12:E12"/>
    <mergeCell ref="C13:E13"/>
    <mergeCell ref="A14:H14"/>
    <mergeCell ref="A16:G16"/>
    <mergeCell ref="A17:B17"/>
  </mergeCells>
  <pageMargins left="0.51181102362204722" right="0.51181102362204722" top="0.78740157480314965" bottom="0.78740157480314965" header="0.31496062992125984" footer="0.31496062992125984"/>
  <pageSetup paperSize="9" scale="77" orientation="portrait" verticalDpi="360" r:id="rId1"/>
  <colBreaks count="1" manualBreakCount="1">
    <brk id="9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1"/>
  <sheetViews>
    <sheetView view="pageBreakPreview" zoomScaleNormal="100" zoomScaleSheetLayoutView="100" workbookViewId="0">
      <selection activeCell="H29" sqref="H29"/>
    </sheetView>
  </sheetViews>
  <sheetFormatPr defaultRowHeight="15" x14ac:dyDescent="0.25"/>
  <cols>
    <col min="1" max="1" width="9.140625" style="244"/>
    <col min="3" max="3" width="12.7109375" customWidth="1"/>
    <col min="4" max="4" width="19" customWidth="1"/>
    <col min="5" max="5" width="10" customWidth="1"/>
    <col min="6" max="6" width="11.5703125" customWidth="1"/>
    <col min="7" max="8" width="11.28515625" customWidth="1"/>
    <col min="9" max="9" width="13.7109375" customWidth="1"/>
    <col min="14" max="14" width="19.28515625" customWidth="1"/>
  </cols>
  <sheetData>
    <row r="1" spans="1:12" ht="15.75" x14ac:dyDescent="0.25">
      <c r="A1" s="552"/>
      <c r="B1" s="552"/>
      <c r="C1" s="552"/>
      <c r="D1" s="552"/>
      <c r="E1" s="552"/>
      <c r="F1" s="552"/>
      <c r="G1" s="552"/>
      <c r="H1" s="552"/>
      <c r="I1" s="552"/>
      <c r="J1" s="309"/>
      <c r="K1" s="307"/>
      <c r="L1" s="244"/>
    </row>
    <row r="2" spans="1:12" ht="15.75" x14ac:dyDescent="0.25">
      <c r="A2" s="552"/>
      <c r="B2" s="552"/>
      <c r="C2" s="552"/>
      <c r="D2" s="552"/>
      <c r="E2" s="552"/>
      <c r="F2" s="552"/>
      <c r="G2" s="552"/>
      <c r="H2" s="552"/>
      <c r="I2" s="552"/>
      <c r="J2" s="309"/>
      <c r="K2" s="307"/>
      <c r="L2" s="244"/>
    </row>
    <row r="3" spans="1:12" ht="15.75" x14ac:dyDescent="0.25">
      <c r="A3" s="552"/>
      <c r="B3" s="552"/>
      <c r="C3" s="552"/>
      <c r="D3" s="552"/>
      <c r="E3" s="552"/>
      <c r="F3" s="552"/>
      <c r="G3" s="552"/>
      <c r="H3" s="552"/>
      <c r="I3" s="552"/>
      <c r="J3" s="309"/>
      <c r="K3" s="308"/>
      <c r="L3" s="244"/>
    </row>
    <row r="4" spans="1:12" ht="28.5" customHeight="1" x14ac:dyDescent="0.25">
      <c r="A4" s="557" t="str">
        <f>'ORÇAMENTO DESONERADO'!A5:I5</f>
        <v>EXECUÇÃO DOS SERVIÇOS DE DRENAGEM SUPERFICIAL E PAVIMENTAÇÃO ASFÁLTICA DE VIAS EM GARRAFÃO DO NORTE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118"/>
    </row>
    <row r="5" spans="1:12" s="244" customFormat="1" x14ac:dyDescent="0.25">
      <c r="L5" s="118"/>
    </row>
    <row r="6" spans="1:12" s="244" customFormat="1" x14ac:dyDescent="0.25">
      <c r="B6"/>
      <c r="C6"/>
      <c r="D6"/>
      <c r="E6"/>
      <c r="F6"/>
      <c r="G6"/>
      <c r="H6"/>
      <c r="I6"/>
      <c r="J6"/>
      <c r="K6"/>
      <c r="L6"/>
    </row>
    <row r="7" spans="1:12" s="244" customFormat="1" x14ac:dyDescent="0.25">
      <c r="B7" s="277" t="str">
        <f>'ORÇAMENTO DESONERADO'!B16</f>
        <v>2</v>
      </c>
      <c r="C7" s="553" t="str">
        <f>'ORÇAMENTO DESONERADO'!D16</f>
        <v>SERVIÇOS PRELIMINARES</v>
      </c>
      <c r="D7" s="553"/>
      <c r="E7" s="553"/>
      <c r="F7" s="553"/>
      <c r="G7" s="553"/>
      <c r="H7" s="553"/>
      <c r="I7" s="553"/>
      <c r="J7" s="554"/>
      <c r="K7"/>
      <c r="L7"/>
    </row>
    <row r="8" spans="1:12" s="244" customFormat="1" x14ac:dyDescent="0.25">
      <c r="B8" s="6"/>
      <c r="C8" s="6"/>
      <c r="D8" s="6"/>
      <c r="E8" s="6"/>
      <c r="F8" s="6"/>
      <c r="G8" s="6"/>
      <c r="H8" s="6"/>
      <c r="I8" s="6"/>
      <c r="J8" s="6"/>
      <c r="K8"/>
      <c r="L8"/>
    </row>
    <row r="9" spans="1:12" s="244" customFormat="1" x14ac:dyDescent="0.25">
      <c r="B9" s="76" t="str">
        <f>'ORÇAMENTO DESONERADO'!B17</f>
        <v>2.1</v>
      </c>
      <c r="C9" s="118" t="str">
        <f>'ORÇAMENTO DESONERADO'!D17</f>
        <v>PLACA DE OBRA EM LONA COM PLOTAGEM DE
GRÁFICA</v>
      </c>
      <c r="D9" s="118"/>
      <c r="E9" s="118"/>
      <c r="F9" s="118"/>
      <c r="G9" s="118"/>
      <c r="H9" s="118"/>
      <c r="I9" s="118"/>
      <c r="J9" s="118"/>
      <c r="K9" s="118"/>
      <c r="L9"/>
    </row>
    <row r="10" spans="1:12" x14ac:dyDescent="0.25">
      <c r="B10" s="6"/>
      <c r="C10" s="6"/>
      <c r="D10" s="6"/>
      <c r="E10" s="6"/>
      <c r="F10" s="6"/>
      <c r="G10" s="6"/>
      <c r="H10" s="6"/>
      <c r="I10" s="6"/>
      <c r="J10" s="6"/>
      <c r="K10" s="244"/>
      <c r="L10" s="244"/>
    </row>
    <row r="11" spans="1:12" x14ac:dyDescent="0.25">
      <c r="B11" s="229" t="s">
        <v>38</v>
      </c>
      <c r="C11" s="223"/>
      <c r="D11" s="229" t="s">
        <v>39</v>
      </c>
      <c r="E11" s="223"/>
      <c r="F11" s="229" t="s">
        <v>30</v>
      </c>
      <c r="G11" s="346"/>
      <c r="H11" s="333" t="s">
        <v>44</v>
      </c>
    </row>
    <row r="12" spans="1:12" x14ac:dyDescent="0.25">
      <c r="B12" s="228">
        <v>4</v>
      </c>
      <c r="C12" s="228" t="s">
        <v>14</v>
      </c>
      <c r="D12" s="228">
        <v>6</v>
      </c>
      <c r="E12" s="228" t="s">
        <v>14</v>
      </c>
      <c r="F12" s="228">
        <v>1</v>
      </c>
      <c r="G12" s="228" t="s">
        <v>40</v>
      </c>
      <c r="H12" s="228">
        <f>B12*D12*F12</f>
        <v>24</v>
      </c>
    </row>
    <row r="13" spans="1:12" x14ac:dyDescent="0.25">
      <c r="B13" s="6"/>
      <c r="C13" s="280"/>
      <c r="D13" s="280"/>
      <c r="E13" s="280"/>
      <c r="F13" s="280"/>
      <c r="G13" s="280"/>
      <c r="H13" s="280"/>
      <c r="I13" s="280"/>
      <c r="J13" s="6"/>
      <c r="K13" s="244"/>
      <c r="L13" s="244"/>
    </row>
    <row r="14" spans="1:12" x14ac:dyDescent="0.25">
      <c r="B14" s="6"/>
      <c r="C14" s="7" t="s">
        <v>15</v>
      </c>
      <c r="D14" s="13">
        <f>SUM(H12:H12)</f>
        <v>24</v>
      </c>
      <c r="E14" s="14" t="str">
        <f>'ORÇAMENTO DESONERADO'!E17</f>
        <v xml:space="preserve">M2    </v>
      </c>
      <c r="F14" s="6"/>
      <c r="G14" s="6"/>
      <c r="H14" s="6"/>
      <c r="I14" s="6"/>
      <c r="J14" s="6"/>
    </row>
    <row r="15" spans="1:12" s="244" customFormat="1" x14ac:dyDescent="0.25">
      <c r="B15" s="6"/>
      <c r="C15" s="6"/>
      <c r="D15" s="6"/>
      <c r="E15" s="6"/>
      <c r="F15" s="6"/>
      <c r="G15" s="6"/>
      <c r="H15" s="6"/>
      <c r="I15" s="6"/>
      <c r="J15" s="6"/>
      <c r="K15"/>
      <c r="L15"/>
    </row>
    <row r="16" spans="1:12" ht="33" customHeight="1" x14ac:dyDescent="0.25">
      <c r="B16" s="76" t="str">
        <f>'ORÇAMENTO DESONERADO'!B18</f>
        <v>2.2</v>
      </c>
      <c r="C16" s="558" t="str">
        <f>'ORÇAMENTO DESONERADO'!D18</f>
        <v>EXECUÇÃO DE DEPOSITO EM CANTEIRO DE OBRA EM CHAPA DE MADEIRA COMPENSADA, NÃO INCLUSO MIBILIARIO</v>
      </c>
      <c r="D16" s="558"/>
      <c r="E16" s="558"/>
      <c r="F16" s="558"/>
      <c r="G16" s="558"/>
      <c r="H16" s="558"/>
      <c r="I16" s="558"/>
      <c r="J16" s="558"/>
      <c r="K16" s="119"/>
    </row>
    <row r="17" spans="2:12" x14ac:dyDescent="0.25">
      <c r="B17" s="6"/>
      <c r="C17" s="15"/>
      <c r="D17" s="15"/>
      <c r="E17" s="15"/>
      <c r="F17" s="15"/>
      <c r="G17" s="15"/>
      <c r="H17" s="15"/>
      <c r="I17" s="15"/>
      <c r="J17" s="15"/>
    </row>
    <row r="18" spans="2:12" x14ac:dyDescent="0.25">
      <c r="B18" s="6"/>
      <c r="C18" s="559" t="s">
        <v>306</v>
      </c>
      <c r="D18" s="559"/>
      <c r="E18" s="559"/>
      <c r="F18" s="560"/>
      <c r="G18" s="560" t="s">
        <v>307</v>
      </c>
      <c r="H18" s="560"/>
      <c r="I18" s="560"/>
    </row>
    <row r="19" spans="2:12" x14ac:dyDescent="0.25">
      <c r="B19" s="6"/>
      <c r="C19" s="559"/>
      <c r="D19" s="559"/>
      <c r="E19" s="559"/>
      <c r="F19" s="560"/>
      <c r="G19" s="560"/>
      <c r="H19" s="560"/>
      <c r="I19" s="560"/>
    </row>
    <row r="20" spans="2:12" x14ac:dyDescent="0.25">
      <c r="B20" s="6"/>
      <c r="C20" s="561">
        <v>4</v>
      </c>
      <c r="D20" s="561"/>
      <c r="E20" s="561"/>
      <c r="F20" s="229" t="s">
        <v>125</v>
      </c>
      <c r="G20" s="560">
        <v>4</v>
      </c>
      <c r="H20" s="560"/>
      <c r="I20" s="560"/>
      <c r="J20" s="244"/>
      <c r="K20" s="244"/>
      <c r="L20" s="244"/>
    </row>
    <row r="21" spans="2:12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2:12" x14ac:dyDescent="0.25">
      <c r="B22" s="6"/>
      <c r="C22" s="7" t="s">
        <v>15</v>
      </c>
      <c r="D22" s="13">
        <f>C20*G20</f>
        <v>16</v>
      </c>
      <c r="E22" s="16" t="str">
        <f>'ORÇAMENTO DESONERADO'!E18</f>
        <v xml:space="preserve">M2    </v>
      </c>
      <c r="F22" s="6"/>
      <c r="G22" s="412"/>
      <c r="H22" s="412"/>
      <c r="I22" s="6"/>
      <c r="J22" s="6"/>
    </row>
    <row r="23" spans="2:12" x14ac:dyDescent="0.25">
      <c r="B23" s="12"/>
      <c r="C23" s="15"/>
      <c r="D23" s="15"/>
      <c r="E23" s="15"/>
      <c r="F23" s="15"/>
      <c r="G23" s="15"/>
      <c r="H23" s="15"/>
      <c r="I23" s="15"/>
      <c r="J23" s="15"/>
    </row>
    <row r="24" spans="2:12" x14ac:dyDescent="0.25">
      <c r="B24" s="76" t="str">
        <f>'ORÇAMENTO DESONERADO'!B19</f>
        <v>2.3</v>
      </c>
      <c r="C24" s="558" t="str">
        <f>'ORÇAMENTO DESONERADO'!D19</f>
        <v>LOCAÇÃO DE PAVIMENTAÇÃO. AF_10/2018</v>
      </c>
      <c r="D24" s="558"/>
      <c r="E24" s="558"/>
      <c r="F24" s="558"/>
      <c r="G24" s="558"/>
      <c r="H24" s="558"/>
      <c r="I24" s="558"/>
      <c r="J24" s="558"/>
      <c r="K24" s="119"/>
    </row>
    <row r="25" spans="2:12" x14ac:dyDescent="0.25">
      <c r="B25" s="6"/>
      <c r="C25" s="523" t="s">
        <v>2</v>
      </c>
      <c r="D25" s="523"/>
      <c r="E25" s="523"/>
      <c r="F25" s="555" t="s">
        <v>3</v>
      </c>
      <c r="G25" s="556"/>
      <c r="H25" s="1" t="s">
        <v>4</v>
      </c>
      <c r="I25" s="1" t="s">
        <v>5</v>
      </c>
      <c r="J25" s="6"/>
    </row>
    <row r="26" spans="2:12" x14ac:dyDescent="0.25">
      <c r="B26" s="6"/>
      <c r="C26" s="523"/>
      <c r="D26" s="523"/>
      <c r="E26" s="523"/>
      <c r="F26" s="2" t="s">
        <v>6</v>
      </c>
      <c r="G26" s="3" t="s">
        <v>7</v>
      </c>
      <c r="H26" s="1" t="s">
        <v>6</v>
      </c>
      <c r="I26" s="1" t="s">
        <v>8</v>
      </c>
      <c r="J26" s="6"/>
    </row>
    <row r="27" spans="2:12" x14ac:dyDescent="0.25">
      <c r="B27" s="6"/>
      <c r="C27" s="549" t="str">
        <f>'DADOS DA OBRA'!B11</f>
        <v>TRAVESSA LUIZ EDUARDO MAGALHÃES</v>
      </c>
      <c r="D27" s="550"/>
      <c r="E27" s="551"/>
      <c r="F27" s="4">
        <f>'DADOS DA OBRA'!E11</f>
        <v>1400</v>
      </c>
      <c r="G27" s="4">
        <f>F27/1000</f>
        <v>1.4</v>
      </c>
      <c r="H27" s="4">
        <v>6</v>
      </c>
      <c r="I27" s="4">
        <f>ROUND(F27*H27,2)</f>
        <v>8400</v>
      </c>
      <c r="J27" s="6"/>
      <c r="L27" s="286"/>
    </row>
    <row r="28" spans="2:12" s="244" customFormat="1" x14ac:dyDescent="0.25">
      <c r="B28" s="6"/>
      <c r="C28" s="549" t="str">
        <f>'DADOS DA OBRA'!B12</f>
        <v>TRAVESSA ARTHUR BERNADEZ</v>
      </c>
      <c r="D28" s="550"/>
      <c r="E28" s="551"/>
      <c r="F28" s="315">
        <f>'DADOS DA OBRA'!E12</f>
        <v>600</v>
      </c>
      <c r="G28" s="315">
        <f>F28/1000</f>
        <v>0.6</v>
      </c>
      <c r="H28" s="315">
        <v>6</v>
      </c>
      <c r="I28" s="315">
        <f>ROUND(F28*H28,2)</f>
        <v>3600</v>
      </c>
      <c r="J28" s="6"/>
    </row>
    <row r="29" spans="2:12" x14ac:dyDescent="0.25">
      <c r="B29" s="6"/>
      <c r="C29" s="524" t="s">
        <v>9</v>
      </c>
      <c r="D29" s="525"/>
      <c r="E29" s="526"/>
      <c r="F29" s="5">
        <f>SUM(F27:F28)</f>
        <v>2000</v>
      </c>
      <c r="G29" s="5">
        <f>ROUND(SUM(G27:G28),2)</f>
        <v>2</v>
      </c>
      <c r="H29" s="5"/>
      <c r="I29" s="5">
        <f>ROUND(SUM(I27:I28),2)</f>
        <v>12000</v>
      </c>
      <c r="J29" s="6"/>
    </row>
    <row r="30" spans="2:12" x14ac:dyDescent="0.25">
      <c r="B30" s="6"/>
      <c r="F30" s="6"/>
      <c r="G30" s="6"/>
      <c r="I30" s="6"/>
      <c r="J30" s="6"/>
    </row>
    <row r="31" spans="2:12" x14ac:dyDescent="0.25">
      <c r="C31" s="7" t="s">
        <v>15</v>
      </c>
      <c r="D31" s="13">
        <f>F29</f>
        <v>2000</v>
      </c>
      <c r="E31" s="16" t="s">
        <v>142</v>
      </c>
    </row>
  </sheetData>
  <mergeCells count="17">
    <mergeCell ref="C29:E29"/>
    <mergeCell ref="F25:G25"/>
    <mergeCell ref="C25:E26"/>
    <mergeCell ref="C27:E27"/>
    <mergeCell ref="A4:K4"/>
    <mergeCell ref="C16:J16"/>
    <mergeCell ref="C24:J24"/>
    <mergeCell ref="C18:E19"/>
    <mergeCell ref="F18:F19"/>
    <mergeCell ref="G18:I19"/>
    <mergeCell ref="C20:E20"/>
    <mergeCell ref="G20:I20"/>
    <mergeCell ref="C28:E28"/>
    <mergeCell ref="A1:I1"/>
    <mergeCell ref="A2:I2"/>
    <mergeCell ref="A3:I3"/>
    <mergeCell ref="C7:J7"/>
  </mergeCells>
  <pageMargins left="0.51181102362204722" right="0.51181102362204722" top="0.78740157480314965" bottom="0.78740157480314965" header="0.31496062992125984" footer="0.31496062992125984"/>
  <pageSetup paperSize="9" scale="73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6"/>
  <sheetViews>
    <sheetView view="pageBreakPreview" topLeftCell="A16" zoomScale="75" zoomScaleNormal="100" zoomScaleSheetLayoutView="75" workbookViewId="0">
      <selection activeCell="N11" sqref="N11:O11"/>
    </sheetView>
  </sheetViews>
  <sheetFormatPr defaultColWidth="9.140625" defaultRowHeight="14.25" x14ac:dyDescent="0.2"/>
  <cols>
    <col min="1" max="1" width="11.28515625" style="46" customWidth="1"/>
    <col min="2" max="2" width="14.85546875" style="46" customWidth="1"/>
    <col min="3" max="3" width="44.140625" style="46" customWidth="1"/>
    <col min="4" max="4" width="9.42578125" style="46" customWidth="1"/>
    <col min="5" max="5" width="13.42578125" style="46" customWidth="1"/>
    <col min="6" max="6" width="15.42578125" style="46" customWidth="1"/>
    <col min="7" max="7" width="8.28515625" style="46" bestFit="1" customWidth="1"/>
    <col min="8" max="8" width="12.85546875" style="46" bestFit="1" customWidth="1"/>
    <col min="9" max="9" width="5.42578125" style="46" bestFit="1" customWidth="1"/>
    <col min="10" max="10" width="13.140625" style="46" customWidth="1"/>
    <col min="11" max="11" width="7.85546875" style="46" customWidth="1"/>
    <col min="12" max="12" width="10.85546875" style="46" bestFit="1" customWidth="1"/>
    <col min="13" max="13" width="21.7109375" style="46" customWidth="1"/>
    <col min="14" max="14" width="14.5703125" style="46" bestFit="1" customWidth="1"/>
    <col min="15" max="15" width="12.5703125" style="46" bestFit="1" customWidth="1"/>
    <col min="16" max="16" width="11.85546875" style="46" bestFit="1" customWidth="1"/>
    <col min="17" max="17" width="12.140625" style="46" customWidth="1"/>
    <col min="18" max="18" width="11.85546875" style="46" bestFit="1" customWidth="1"/>
    <col min="19" max="19" width="13.5703125" style="46" customWidth="1"/>
    <col min="20" max="20" width="10.28515625" style="46" bestFit="1" customWidth="1"/>
    <col min="21" max="21" width="15.42578125" style="46" customWidth="1"/>
    <col min="22" max="16384" width="9.140625" style="46"/>
  </cols>
  <sheetData>
    <row r="1" spans="1:25" ht="21.75" customHeight="1" x14ac:dyDescent="0.2">
      <c r="A1" s="552"/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</row>
    <row r="2" spans="1:25" ht="21.75" customHeight="1" x14ac:dyDescent="0.2">
      <c r="A2" s="552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</row>
    <row r="3" spans="1:25" ht="21.75" customHeight="1" x14ac:dyDescent="0.2">
      <c r="A3" s="552"/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</row>
    <row r="4" spans="1:25" s="47" customFormat="1" ht="21.75" customHeight="1" x14ac:dyDescent="0.2">
      <c r="A4" s="552" t="str">
        <f>'2.SER.PREL.'!A4:K4</f>
        <v>EXECUÇÃO DOS SERVIÇOS DE DRENAGEM SUPERFICIAL E PAVIMENTAÇÃO ASFÁLTICA DE VIAS EM GARRAFÃO DO NORTE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</row>
    <row r="5" spans="1:25" s="54" customFormat="1" ht="15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P5" s="54">
        <f>'ORÇAMENTO DESONERADO'!I101</f>
        <v>2833605.2</v>
      </c>
      <c r="Q5" s="161">
        <f>'ORÇAMENTO DESONERADO'!I102</f>
        <v>0</v>
      </c>
    </row>
    <row r="6" spans="1:25" s="54" customFormat="1" ht="18" x14ac:dyDescent="0.25">
      <c r="A6" s="571" t="s">
        <v>149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Q6" s="161"/>
    </row>
    <row r="7" spans="1:25" s="54" customFormat="1" ht="1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Q7" s="54">
        <f>Q5/10</f>
        <v>0</v>
      </c>
    </row>
    <row r="8" spans="1:25" s="54" customFormat="1" ht="15" x14ac:dyDescent="0.25">
      <c r="A8" s="93" t="s">
        <v>118</v>
      </c>
      <c r="B8" s="154" t="s">
        <v>120</v>
      </c>
      <c r="C8" s="94" t="s">
        <v>171</v>
      </c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25" s="58" customFormat="1" ht="15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25" s="58" customFormat="1" ht="25.5" x14ac:dyDescent="0.25">
      <c r="A10" s="72" t="s">
        <v>85</v>
      </c>
      <c r="B10" s="73" t="s">
        <v>86</v>
      </c>
      <c r="C10" s="74" t="s">
        <v>87</v>
      </c>
      <c r="D10" s="74" t="s">
        <v>88</v>
      </c>
      <c r="E10" s="74" t="s">
        <v>89</v>
      </c>
      <c r="F10" s="72" t="s">
        <v>90</v>
      </c>
      <c r="G10" s="74" t="s">
        <v>91</v>
      </c>
      <c r="H10" s="72" t="s">
        <v>92</v>
      </c>
      <c r="I10" s="565" t="s">
        <v>93</v>
      </c>
      <c r="J10" s="566"/>
      <c r="K10" s="567"/>
      <c r="L10" s="72" t="s">
        <v>94</v>
      </c>
      <c r="M10" s="72" t="s">
        <v>95</v>
      </c>
    </row>
    <row r="11" spans="1:25" s="59" customFormat="1" ht="36.75" customHeight="1" x14ac:dyDescent="0.25">
      <c r="A11" s="48" t="s">
        <v>22</v>
      </c>
      <c r="B11" s="23" t="s">
        <v>96</v>
      </c>
      <c r="C11" s="49" t="s">
        <v>97</v>
      </c>
      <c r="D11" s="48" t="s">
        <v>123</v>
      </c>
      <c r="E11" s="50" t="s">
        <v>319</v>
      </c>
      <c r="F11" s="51">
        <v>1</v>
      </c>
      <c r="G11" s="51">
        <v>240</v>
      </c>
      <c r="H11" s="22">
        <v>40</v>
      </c>
      <c r="I11" s="568">
        <v>22</v>
      </c>
      <c r="J11" s="569"/>
      <c r="K11" s="570"/>
      <c r="L11" s="52">
        <v>257.75220000000002</v>
      </c>
      <c r="M11" s="53">
        <v>4387.59</v>
      </c>
      <c r="N11" s="478"/>
      <c r="Q11" s="60"/>
    </row>
    <row r="12" spans="1:25" s="60" customFormat="1" ht="82.5" customHeight="1" x14ac:dyDescent="0.25">
      <c r="A12" s="48" t="s">
        <v>20</v>
      </c>
      <c r="B12" s="23">
        <v>5824</v>
      </c>
      <c r="C12" s="55" t="s">
        <v>98</v>
      </c>
      <c r="D12" s="48" t="s">
        <v>123</v>
      </c>
      <c r="E12" s="166" t="s">
        <v>124</v>
      </c>
      <c r="F12" s="51">
        <v>1</v>
      </c>
      <c r="G12" s="165">
        <v>30.95</v>
      </c>
      <c r="H12" s="22">
        <v>40</v>
      </c>
      <c r="I12" s="568">
        <v>2</v>
      </c>
      <c r="J12" s="569"/>
      <c r="K12" s="570"/>
      <c r="L12" s="52">
        <v>162.22</v>
      </c>
      <c r="M12" s="53">
        <v>251.04</v>
      </c>
      <c r="O12" s="477"/>
      <c r="R12" s="60">
        <v>5</v>
      </c>
      <c r="S12" s="60">
        <v>0.4</v>
      </c>
      <c r="T12" s="60">
        <f>R12/S12</f>
        <v>12.5</v>
      </c>
      <c r="U12" s="60">
        <v>13</v>
      </c>
      <c r="V12" s="60">
        <f>U12/2</f>
        <v>6.5</v>
      </c>
      <c r="W12" s="60">
        <v>7</v>
      </c>
      <c r="X12" s="60">
        <v>1.6</v>
      </c>
      <c r="Y12" s="60">
        <f>W12*X12</f>
        <v>11.200000000000001</v>
      </c>
    </row>
    <row r="13" spans="1:25" s="61" customFormat="1" ht="63.75" x14ac:dyDescent="0.25">
      <c r="A13" s="56" t="s">
        <v>20</v>
      </c>
      <c r="B13" s="57">
        <v>5811</v>
      </c>
      <c r="C13" s="55" t="s">
        <v>99</v>
      </c>
      <c r="D13" s="166" t="s">
        <v>123</v>
      </c>
      <c r="E13" s="166" t="s">
        <v>124</v>
      </c>
      <c r="F13" s="51">
        <v>1</v>
      </c>
      <c r="G13" s="165">
        <v>30.95</v>
      </c>
      <c r="H13" s="22">
        <v>40</v>
      </c>
      <c r="I13" s="568">
        <v>10</v>
      </c>
      <c r="J13" s="569"/>
      <c r="K13" s="570"/>
      <c r="L13" s="52">
        <v>173.58</v>
      </c>
      <c r="M13" s="53">
        <v>1343.08</v>
      </c>
      <c r="Q13" s="61">
        <f>7/0.4</f>
        <v>17.5</v>
      </c>
      <c r="R13" s="347"/>
    </row>
    <row r="14" spans="1:25" ht="76.5" x14ac:dyDescent="0.2">
      <c r="A14" s="56" t="s">
        <v>20</v>
      </c>
      <c r="B14" s="57">
        <v>91386</v>
      </c>
      <c r="C14" s="55" t="s">
        <v>100</v>
      </c>
      <c r="D14" s="166" t="s">
        <v>123</v>
      </c>
      <c r="E14" s="166" t="s">
        <v>124</v>
      </c>
      <c r="F14" s="51">
        <v>1</v>
      </c>
      <c r="G14" s="165">
        <v>30.95</v>
      </c>
      <c r="H14" s="22">
        <v>40</v>
      </c>
      <c r="I14" s="568">
        <v>10</v>
      </c>
      <c r="J14" s="569"/>
      <c r="K14" s="570"/>
      <c r="L14" s="52">
        <v>217.88</v>
      </c>
      <c r="M14" s="53">
        <v>1685.85</v>
      </c>
      <c r="P14" s="46">
        <f>4*0.4</f>
        <v>1.6</v>
      </c>
      <c r="Q14" s="46">
        <f>P14*9</f>
        <v>14.4</v>
      </c>
      <c r="U14" s="46">
        <v>0.23630000000000001</v>
      </c>
    </row>
    <row r="15" spans="1:25" ht="76.5" x14ac:dyDescent="0.2">
      <c r="A15" s="56" t="s">
        <v>20</v>
      </c>
      <c r="B15" s="57">
        <v>5901</v>
      </c>
      <c r="C15" s="55" t="s">
        <v>101</v>
      </c>
      <c r="D15" s="166" t="s">
        <v>123</v>
      </c>
      <c r="E15" s="166" t="s">
        <v>124</v>
      </c>
      <c r="F15" s="51">
        <v>1</v>
      </c>
      <c r="G15" s="165">
        <v>30.95</v>
      </c>
      <c r="H15" s="22">
        <v>40</v>
      </c>
      <c r="I15" s="568">
        <v>4</v>
      </c>
      <c r="J15" s="569"/>
      <c r="K15" s="570"/>
      <c r="L15" s="52">
        <v>254.65</v>
      </c>
      <c r="M15" s="53">
        <v>788.14</v>
      </c>
      <c r="U15" s="46">
        <v>0.28010000000000002</v>
      </c>
    </row>
    <row r="16" spans="1:25" ht="76.5" x14ac:dyDescent="0.2">
      <c r="A16" s="56" t="s">
        <v>20</v>
      </c>
      <c r="B16" s="57">
        <v>83362</v>
      </c>
      <c r="C16" s="55" t="s">
        <v>102</v>
      </c>
      <c r="D16" s="166" t="s">
        <v>123</v>
      </c>
      <c r="E16" s="166" t="s">
        <v>124</v>
      </c>
      <c r="F16" s="51">
        <v>1</v>
      </c>
      <c r="G16" s="165">
        <v>30.95</v>
      </c>
      <c r="H16" s="22">
        <v>40</v>
      </c>
      <c r="I16" s="568">
        <v>4</v>
      </c>
      <c r="J16" s="569"/>
      <c r="K16" s="570"/>
      <c r="L16" s="52">
        <v>251.37</v>
      </c>
      <c r="M16" s="53">
        <v>1570.8400000000001</v>
      </c>
      <c r="U16" s="46">
        <v>1</v>
      </c>
    </row>
    <row r="17" spans="1:21" ht="15.75" x14ac:dyDescent="0.2">
      <c r="A17" s="562" t="s">
        <v>9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4"/>
      <c r="M17" s="97">
        <f>ROUND(SUM(M11:M16),2)</f>
        <v>10026.540000000001</v>
      </c>
      <c r="U17" s="46">
        <v>1</v>
      </c>
    </row>
    <row r="18" spans="1:21" ht="15" x14ac:dyDescent="0.2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U18" s="46">
        <f>SUM(U14:U17)</f>
        <v>2.5164</v>
      </c>
    </row>
    <row r="22" spans="1:21" x14ac:dyDescent="0.2">
      <c r="H22" s="46">
        <v>500</v>
      </c>
      <c r="M22" s="338">
        <v>94511.418999999994</v>
      </c>
    </row>
    <row r="23" spans="1:21" x14ac:dyDescent="0.2">
      <c r="H23" s="46">
        <f>H22/12</f>
        <v>41.666666666666664</v>
      </c>
      <c r="M23" s="339">
        <f>M22-M17</f>
        <v>84484.878999999986</v>
      </c>
    </row>
    <row r="24" spans="1:21" x14ac:dyDescent="0.2">
      <c r="H24" s="46">
        <f>H23*5</f>
        <v>208.33333333333331</v>
      </c>
    </row>
    <row r="25" spans="1:21" x14ac:dyDescent="0.2">
      <c r="H25" s="46">
        <v>291.66666666666663</v>
      </c>
    </row>
    <row r="26" spans="1:21" x14ac:dyDescent="0.2">
      <c r="H26" s="46">
        <f>H25+H24</f>
        <v>499.99999999999994</v>
      </c>
    </row>
  </sheetData>
  <mergeCells count="13">
    <mergeCell ref="A6:M6"/>
    <mergeCell ref="A1:M1"/>
    <mergeCell ref="A2:M2"/>
    <mergeCell ref="A3:M3"/>
    <mergeCell ref="A4:M4"/>
    <mergeCell ref="A17:L17"/>
    <mergeCell ref="I10:K10"/>
    <mergeCell ref="I11:K11"/>
    <mergeCell ref="I12:K12"/>
    <mergeCell ref="I13:K13"/>
    <mergeCell ref="I14:K14"/>
    <mergeCell ref="I15:K15"/>
    <mergeCell ref="I16:K16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97"/>
  <sheetViews>
    <sheetView view="pageBreakPreview" topLeftCell="A276" zoomScale="85" zoomScaleNormal="77" zoomScaleSheetLayoutView="85" workbookViewId="0">
      <selection activeCell="A4" sqref="A4:K4"/>
    </sheetView>
  </sheetViews>
  <sheetFormatPr defaultColWidth="9.140625" defaultRowHeight="14.25" x14ac:dyDescent="0.2"/>
  <cols>
    <col min="1" max="1" width="9.140625" style="146"/>
    <col min="2" max="2" width="36.140625" style="146" customWidth="1"/>
    <col min="3" max="3" width="23.85546875" style="146" customWidth="1"/>
    <col min="4" max="4" width="16.28515625" style="146" bestFit="1" customWidth="1"/>
    <col min="5" max="5" width="19" style="388" customWidth="1"/>
    <col min="6" max="6" width="12.140625" style="146" customWidth="1"/>
    <col min="7" max="7" width="13.140625" style="146" customWidth="1"/>
    <col min="8" max="8" width="14.140625" style="194" customWidth="1"/>
    <col min="9" max="9" width="12.28515625" style="146" customWidth="1"/>
    <col min="10" max="10" width="6.42578125" style="146" customWidth="1"/>
    <col min="11" max="11" width="14.28515625" style="146" customWidth="1"/>
    <col min="12" max="12" width="9.140625" style="46"/>
    <col min="13" max="13" width="12.42578125" style="46" bestFit="1" customWidth="1"/>
    <col min="14" max="14" width="9.7109375" style="46" bestFit="1" customWidth="1"/>
    <col min="15" max="15" width="14.7109375" style="46" bestFit="1" customWidth="1"/>
    <col min="16" max="16" width="9.140625" style="46"/>
    <col min="17" max="17" width="16.140625" style="46" bestFit="1" customWidth="1"/>
    <col min="18" max="16384" width="9.140625" style="46"/>
  </cols>
  <sheetData>
    <row r="1" spans="1:15" ht="18.75" customHeight="1" x14ac:dyDescent="0.25">
      <c r="A1" s="617"/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15" ht="18.75" customHeight="1" x14ac:dyDescent="0.25">
      <c r="A2" s="617"/>
      <c r="B2" s="617"/>
      <c r="C2" s="617"/>
      <c r="D2" s="617"/>
      <c r="E2" s="617"/>
      <c r="F2" s="617"/>
      <c r="G2" s="617"/>
      <c r="H2" s="617"/>
      <c r="I2" s="617"/>
      <c r="J2" s="617"/>
      <c r="K2" s="617"/>
    </row>
    <row r="3" spans="1:15" ht="18.75" customHeight="1" x14ac:dyDescent="0.25">
      <c r="A3" s="617"/>
      <c r="B3" s="617"/>
      <c r="C3" s="617"/>
      <c r="D3" s="617"/>
      <c r="E3" s="617"/>
      <c r="F3" s="617"/>
      <c r="G3" s="617"/>
      <c r="H3" s="617"/>
      <c r="I3" s="617"/>
      <c r="J3" s="617"/>
      <c r="K3" s="617"/>
    </row>
    <row r="4" spans="1:15" ht="30" customHeight="1" x14ac:dyDescent="0.25">
      <c r="A4" s="618" t="str">
        <f>COMPOS.MOBILIZAÇÃO!A4</f>
        <v>EXECUÇÃO DOS SERVIÇOS DE DRENAGEM SUPERFICIAL E PAVIMENTAÇÃO ASFÁLTICA DE VIAS EM GARRAFÃO DO NORTE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78"/>
      <c r="M4" s="78"/>
      <c r="N4" s="78"/>
      <c r="O4" s="79"/>
    </row>
    <row r="5" spans="1:15" ht="13.9" customHeight="1" x14ac:dyDescent="0.2">
      <c r="L5" s="78"/>
      <c r="M5" s="78"/>
      <c r="N5" s="78"/>
      <c r="O5" s="79"/>
    </row>
    <row r="6" spans="1:15" ht="13.9" hidden="1" customHeight="1" x14ac:dyDescent="0.2">
      <c r="A6" s="278" t="e">
        <f>'ORÇAMENTO DESONERADO'!#REF!</f>
        <v>#REF!</v>
      </c>
      <c r="B6" s="589" t="e">
        <f>'ORÇAMENTO DESONERADO'!#REF!</f>
        <v>#REF!</v>
      </c>
      <c r="C6" s="589"/>
      <c r="D6" s="589"/>
      <c r="E6" s="589"/>
      <c r="F6" s="589"/>
      <c r="G6" s="589"/>
      <c r="H6" s="589"/>
      <c r="I6" s="589"/>
      <c r="J6" s="589"/>
      <c r="K6" s="590"/>
      <c r="L6" s="78"/>
      <c r="M6" s="78"/>
      <c r="N6" s="78"/>
      <c r="O6" s="79"/>
    </row>
    <row r="7" spans="1:15" ht="36" hidden="1" customHeight="1" x14ac:dyDescent="0.2">
      <c r="A7" s="189" t="e">
        <f>'ORÇAMENTO DESONERADO'!#REF!</f>
        <v>#REF!</v>
      </c>
      <c r="B7" s="575" t="e">
        <f>'ORÇAMENTO DESONERADO'!#REF!</f>
        <v>#REF!</v>
      </c>
      <c r="C7" s="575"/>
      <c r="D7" s="575"/>
      <c r="E7" s="575"/>
      <c r="F7" s="575"/>
      <c r="G7" s="575"/>
      <c r="H7" s="575"/>
      <c r="I7" s="575"/>
      <c r="J7" s="575"/>
      <c r="K7" s="575"/>
      <c r="L7" s="78"/>
      <c r="M7" s="78"/>
      <c r="N7" s="78"/>
      <c r="O7" s="79"/>
    </row>
    <row r="8" spans="1:15" hidden="1" x14ac:dyDescent="0.2">
      <c r="A8" s="189"/>
      <c r="B8" s="365"/>
      <c r="C8" s="365"/>
      <c r="D8" s="365"/>
      <c r="E8" s="403"/>
      <c r="F8" s="365"/>
      <c r="G8" s="365"/>
      <c r="H8" s="403"/>
      <c r="I8" s="365"/>
      <c r="J8" s="365"/>
      <c r="K8" s="365"/>
      <c r="L8" s="78"/>
      <c r="M8" s="572" t="s">
        <v>221</v>
      </c>
      <c r="N8" s="572"/>
      <c r="O8" s="79"/>
    </row>
    <row r="9" spans="1:15" hidden="1" x14ac:dyDescent="0.2">
      <c r="A9" s="189"/>
      <c r="B9" s="378" t="s">
        <v>308</v>
      </c>
      <c r="C9" s="379" t="s">
        <v>189</v>
      </c>
      <c r="D9" s="371" t="s">
        <v>84</v>
      </c>
      <c r="E9" s="380" t="s">
        <v>190</v>
      </c>
      <c r="F9" s="371" t="s">
        <v>191</v>
      </c>
      <c r="I9" s="365"/>
      <c r="J9" s="78"/>
      <c r="K9" s="78"/>
      <c r="L9" s="78"/>
      <c r="M9" s="79">
        <v>3000</v>
      </c>
    </row>
    <row r="10" spans="1:15" hidden="1" x14ac:dyDescent="0.2">
      <c r="A10" s="189"/>
      <c r="B10" s="381">
        <v>800</v>
      </c>
      <c r="C10" s="382">
        <v>401</v>
      </c>
      <c r="D10" s="383">
        <v>1.8</v>
      </c>
      <c r="E10" s="384">
        <v>2</v>
      </c>
      <c r="F10" s="383">
        <f>C10*D10*E10</f>
        <v>1443.6000000000001</v>
      </c>
      <c r="I10" s="365"/>
      <c r="J10" s="78"/>
      <c r="K10" s="78"/>
      <c r="L10" s="78"/>
      <c r="M10" s="79"/>
    </row>
    <row r="11" spans="1:15" hidden="1" x14ac:dyDescent="0.2">
      <c r="A11" s="189"/>
      <c r="B11" s="378">
        <v>600</v>
      </c>
      <c r="C11" s="462">
        <v>475</v>
      </c>
      <c r="D11" s="462">
        <v>1.6</v>
      </c>
      <c r="E11" s="386">
        <v>1.5</v>
      </c>
      <c r="F11" s="462">
        <f>C11*D11*E11</f>
        <v>1140</v>
      </c>
      <c r="I11" s="458"/>
      <c r="J11" s="78"/>
      <c r="K11" s="78"/>
      <c r="L11" s="78"/>
      <c r="M11" s="79"/>
    </row>
    <row r="12" spans="1:15" hidden="1" x14ac:dyDescent="0.2">
      <c r="A12" s="189"/>
      <c r="B12" s="466"/>
      <c r="C12" s="387"/>
      <c r="D12" s="387"/>
      <c r="E12" s="467"/>
      <c r="F12" s="387"/>
      <c r="I12" s="458"/>
      <c r="J12" s="78"/>
      <c r="K12" s="78"/>
      <c r="L12" s="78"/>
      <c r="M12" s="79"/>
    </row>
    <row r="13" spans="1:15" ht="14.25" hidden="1" customHeight="1" x14ac:dyDescent="0.2">
      <c r="A13" s="189"/>
      <c r="B13" s="378" t="s">
        <v>187</v>
      </c>
      <c r="C13" s="379" t="s">
        <v>189</v>
      </c>
      <c r="D13" s="573" t="s">
        <v>188</v>
      </c>
      <c r="E13" s="573"/>
      <c r="F13" s="371" t="s">
        <v>191</v>
      </c>
      <c r="G13" s="365"/>
      <c r="H13" s="403"/>
      <c r="I13" s="78"/>
      <c r="J13" s="78"/>
      <c r="K13" s="78"/>
      <c r="L13" s="79"/>
      <c r="O13" s="423"/>
    </row>
    <row r="14" spans="1:15" hidden="1" x14ac:dyDescent="0.2">
      <c r="A14" s="189"/>
      <c r="B14" s="385">
        <v>0.05</v>
      </c>
      <c r="C14" s="382">
        <f>SUM(C10:C11)</f>
        <v>876</v>
      </c>
      <c r="D14" s="574">
        <f>E10</f>
        <v>2</v>
      </c>
      <c r="E14" s="574"/>
      <c r="F14" s="383">
        <f>B14*C14*D14</f>
        <v>87.600000000000009</v>
      </c>
      <c r="G14" s="365"/>
      <c r="H14" s="403"/>
      <c r="I14" s="78"/>
      <c r="J14" s="78"/>
      <c r="K14" s="78"/>
      <c r="L14" s="79"/>
    </row>
    <row r="15" spans="1:15" hidden="1" x14ac:dyDescent="0.2">
      <c r="A15" s="189"/>
      <c r="B15" s="365"/>
      <c r="C15" s="365"/>
      <c r="D15" s="365"/>
      <c r="E15" s="403"/>
      <c r="F15" s="365"/>
      <c r="G15" s="365"/>
      <c r="H15" s="403"/>
      <c r="I15" s="365"/>
      <c r="J15" s="365"/>
      <c r="K15" s="365"/>
      <c r="L15" s="78"/>
      <c r="M15" s="78"/>
      <c r="N15" s="78"/>
      <c r="O15" s="79"/>
    </row>
    <row r="16" spans="1:15" hidden="1" x14ac:dyDescent="0.2">
      <c r="A16" s="189"/>
      <c r="B16" s="91" t="s">
        <v>138</v>
      </c>
      <c r="C16" s="372">
        <f>SUM(F10,F14)</f>
        <v>1531.2</v>
      </c>
      <c r="D16" s="92" t="s">
        <v>36</v>
      </c>
      <c r="E16" s="403"/>
      <c r="F16" s="365"/>
      <c r="G16" s="365"/>
      <c r="H16" s="403"/>
      <c r="I16" s="365"/>
      <c r="J16" s="365"/>
      <c r="K16" s="365"/>
      <c r="L16" s="78"/>
      <c r="M16" s="78"/>
      <c r="N16" s="78"/>
      <c r="O16" s="79"/>
    </row>
    <row r="17" spans="1:15" hidden="1" x14ac:dyDescent="0.2">
      <c r="A17" s="189"/>
      <c r="B17" s="365"/>
      <c r="C17" s="365"/>
      <c r="D17" s="365"/>
      <c r="E17" s="403"/>
      <c r="F17" s="365"/>
      <c r="G17" s="365"/>
      <c r="H17" s="403"/>
      <c r="I17" s="365"/>
      <c r="J17" s="365"/>
      <c r="K17" s="365"/>
      <c r="L17" s="78"/>
      <c r="M17" s="78"/>
      <c r="N17" s="78"/>
      <c r="O17" s="79"/>
    </row>
    <row r="18" spans="1:15" ht="37.5" hidden="1" customHeight="1" x14ac:dyDescent="0.2">
      <c r="A18" s="189" t="e">
        <f>'ORÇAMENTO DESONERADO'!#REF!</f>
        <v>#REF!</v>
      </c>
      <c r="B18" s="575" t="e">
        <f>'ORÇAMENTO DESONERADO'!#REF!</f>
        <v>#REF!</v>
      </c>
      <c r="C18" s="575"/>
      <c r="D18" s="575"/>
      <c r="E18" s="575"/>
      <c r="F18" s="575"/>
      <c r="G18" s="575"/>
      <c r="H18" s="575"/>
      <c r="I18" s="575"/>
      <c r="J18" s="575"/>
      <c r="K18" s="575"/>
      <c r="L18" s="78"/>
      <c r="M18" s="78"/>
      <c r="N18" s="78"/>
      <c r="O18" s="79"/>
    </row>
    <row r="19" spans="1:15" ht="14.25" hidden="1" customHeight="1" x14ac:dyDescent="0.2">
      <c r="A19" s="189"/>
      <c r="B19" s="365"/>
      <c r="C19" s="365"/>
      <c r="D19" s="365"/>
      <c r="E19" s="403"/>
      <c r="F19" s="365"/>
      <c r="G19" s="365"/>
      <c r="H19" s="403"/>
      <c r="I19" s="365"/>
      <c r="J19" s="365"/>
      <c r="K19" s="365"/>
      <c r="L19" s="78"/>
      <c r="M19" s="78"/>
      <c r="N19" s="78"/>
      <c r="O19" s="79"/>
    </row>
    <row r="20" spans="1:15" hidden="1" x14ac:dyDescent="0.2">
      <c r="A20" s="189"/>
      <c r="B20" s="378" t="s">
        <v>308</v>
      </c>
      <c r="C20" s="379" t="s">
        <v>189</v>
      </c>
      <c r="D20" s="371" t="s">
        <v>84</v>
      </c>
      <c r="E20" s="380" t="s">
        <v>190</v>
      </c>
      <c r="F20" s="371" t="s">
        <v>191</v>
      </c>
      <c r="G20" s="365"/>
      <c r="H20" s="403"/>
      <c r="I20" s="365"/>
      <c r="J20" s="365"/>
      <c r="K20" s="365"/>
      <c r="L20" s="78"/>
      <c r="M20" s="78"/>
      <c r="N20" s="78"/>
      <c r="O20" s="79"/>
    </row>
    <row r="21" spans="1:15" hidden="1" x14ac:dyDescent="0.2">
      <c r="A21" s="189"/>
      <c r="B21" s="381">
        <v>400</v>
      </c>
      <c r="C21" s="382">
        <v>216</v>
      </c>
      <c r="D21" s="383">
        <v>1</v>
      </c>
      <c r="E21" s="384">
        <f>0.4*1.5+0.4+0.15</f>
        <v>1.1499999999999999</v>
      </c>
      <c r="F21" s="383">
        <f>C21*D21*E21</f>
        <v>248.39999999999998</v>
      </c>
      <c r="G21" s="365"/>
      <c r="H21" s="403"/>
      <c r="I21" s="365"/>
      <c r="J21" s="365"/>
      <c r="K21" s="365"/>
      <c r="L21" s="78"/>
      <c r="M21" s="78"/>
      <c r="N21" s="78"/>
      <c r="O21" s="79"/>
    </row>
    <row r="22" spans="1:15" hidden="1" x14ac:dyDescent="0.2">
      <c r="A22" s="189"/>
      <c r="D22" s="365"/>
      <c r="E22" s="395"/>
      <c r="F22" s="78"/>
      <c r="G22" s="365"/>
      <c r="H22" s="403"/>
      <c r="I22" s="365"/>
      <c r="J22" s="365"/>
      <c r="K22" s="365"/>
      <c r="L22" s="78"/>
      <c r="M22" s="78"/>
      <c r="N22" s="78"/>
      <c r="O22" s="79"/>
    </row>
    <row r="23" spans="1:15" hidden="1" x14ac:dyDescent="0.2">
      <c r="A23" s="189"/>
      <c r="B23" s="378" t="s">
        <v>187</v>
      </c>
      <c r="C23" s="379" t="s">
        <v>189</v>
      </c>
      <c r="D23" s="573" t="s">
        <v>188</v>
      </c>
      <c r="E23" s="573"/>
      <c r="F23" s="371" t="s">
        <v>191</v>
      </c>
      <c r="G23" s="365"/>
      <c r="H23" s="403"/>
      <c r="I23" s="365"/>
      <c r="J23" s="365"/>
      <c r="K23" s="365"/>
      <c r="L23" s="78"/>
      <c r="M23" s="78"/>
      <c r="N23" s="78"/>
      <c r="O23" s="79"/>
    </row>
    <row r="24" spans="1:15" hidden="1" x14ac:dyDescent="0.2">
      <c r="A24" s="189"/>
      <c r="B24" s="385">
        <v>0.03</v>
      </c>
      <c r="C24" s="382">
        <f>C21</f>
        <v>216</v>
      </c>
      <c r="D24" s="574">
        <f>E21</f>
        <v>1.1499999999999999</v>
      </c>
      <c r="E24" s="574"/>
      <c r="F24" s="383">
        <f>B24*C24*D24</f>
        <v>7.4519999999999991</v>
      </c>
      <c r="G24" s="365"/>
      <c r="H24" s="403"/>
      <c r="I24" s="365"/>
      <c r="J24" s="365"/>
      <c r="K24" s="365"/>
      <c r="L24" s="78"/>
      <c r="M24" s="78"/>
      <c r="N24" s="78"/>
      <c r="O24" s="79"/>
    </row>
    <row r="25" spans="1:15" hidden="1" x14ac:dyDescent="0.2">
      <c r="A25" s="189"/>
      <c r="B25" s="365"/>
      <c r="C25" s="365"/>
      <c r="D25" s="365"/>
      <c r="E25" s="403"/>
      <c r="F25" s="365"/>
      <c r="G25" s="365"/>
      <c r="H25" s="403"/>
      <c r="I25" s="365"/>
      <c r="J25" s="365"/>
      <c r="K25" s="365"/>
      <c r="L25" s="78"/>
      <c r="M25" s="78"/>
      <c r="N25" s="78"/>
      <c r="O25" s="79"/>
    </row>
    <row r="26" spans="1:15" hidden="1" x14ac:dyDescent="0.2">
      <c r="A26" s="189"/>
      <c r="B26" s="91" t="s">
        <v>138</v>
      </c>
      <c r="C26" s="372">
        <f>SUM(F21,F24)</f>
        <v>255.85199999999998</v>
      </c>
      <c r="D26" s="92" t="s">
        <v>36</v>
      </c>
      <c r="E26" s="403"/>
      <c r="F26" s="365"/>
      <c r="G26" s="365"/>
      <c r="H26" s="403"/>
      <c r="I26" s="365"/>
      <c r="J26" s="365"/>
      <c r="K26" s="365"/>
      <c r="L26" s="78"/>
      <c r="M26" s="78"/>
      <c r="N26" s="78"/>
      <c r="O26" s="79"/>
    </row>
    <row r="27" spans="1:15" hidden="1" x14ac:dyDescent="0.2">
      <c r="A27" s="189"/>
      <c r="B27" s="365"/>
      <c r="C27" s="365"/>
      <c r="D27" s="365"/>
      <c r="E27" s="403"/>
      <c r="F27" s="365"/>
      <c r="G27" s="365"/>
      <c r="H27" s="403"/>
      <c r="I27" s="365"/>
      <c r="J27" s="365"/>
      <c r="K27" s="365"/>
      <c r="L27" s="78"/>
      <c r="M27" s="78"/>
      <c r="N27" s="78"/>
      <c r="O27" s="424"/>
    </row>
    <row r="28" spans="1:15" ht="15.75" hidden="1" customHeight="1" x14ac:dyDescent="0.2">
      <c r="A28" s="189" t="e">
        <f>'ORÇAMENTO DESONERADO'!#REF!</f>
        <v>#REF!</v>
      </c>
      <c r="B28" s="575" t="e">
        <f>'ORÇAMENTO DESONERADO'!#REF!</f>
        <v>#REF!</v>
      </c>
      <c r="C28" s="575"/>
      <c r="D28" s="575"/>
      <c r="E28" s="575"/>
      <c r="F28" s="575"/>
      <c r="G28" s="575"/>
      <c r="H28" s="575"/>
      <c r="I28" s="575"/>
      <c r="J28" s="575"/>
      <c r="K28" s="575"/>
      <c r="L28" s="78"/>
      <c r="M28" s="78"/>
      <c r="N28" s="78"/>
      <c r="O28" s="424"/>
    </row>
    <row r="29" spans="1:15" hidden="1" x14ac:dyDescent="0.2">
      <c r="A29" s="189"/>
      <c r="B29" s="365"/>
      <c r="C29" s="365"/>
      <c r="D29" s="365"/>
      <c r="E29" s="403"/>
      <c r="F29" s="365"/>
      <c r="G29" s="365"/>
      <c r="H29" s="403"/>
      <c r="I29" s="365"/>
      <c r="J29" s="365"/>
      <c r="K29" s="365"/>
      <c r="L29" s="78"/>
      <c r="M29" s="78"/>
      <c r="N29" s="78"/>
      <c r="O29" s="424"/>
    </row>
    <row r="30" spans="1:15" hidden="1" x14ac:dyDescent="0.2">
      <c r="A30" s="189"/>
      <c r="B30" s="576" t="s">
        <v>192</v>
      </c>
      <c r="C30" s="378" t="s">
        <v>308</v>
      </c>
      <c r="D30" s="573" t="s">
        <v>189</v>
      </c>
      <c r="E30" s="573"/>
      <c r="F30" s="371" t="s">
        <v>84</v>
      </c>
      <c r="G30" s="371" t="s">
        <v>193</v>
      </c>
      <c r="H30" s="403"/>
      <c r="I30" s="365"/>
      <c r="J30" s="365"/>
      <c r="K30" s="365"/>
      <c r="L30" s="78"/>
      <c r="M30" s="78"/>
      <c r="N30" s="78"/>
      <c r="O30" s="79"/>
    </row>
    <row r="31" spans="1:15" hidden="1" x14ac:dyDescent="0.2">
      <c r="A31" s="189"/>
      <c r="B31" s="577"/>
      <c r="C31" s="381">
        <f>B10</f>
        <v>800</v>
      </c>
      <c r="D31" s="574">
        <f>C10</f>
        <v>401</v>
      </c>
      <c r="E31" s="574"/>
      <c r="F31" s="383">
        <f>D10</f>
        <v>1.8</v>
      </c>
      <c r="G31" s="383">
        <f>D31*F31</f>
        <v>721.80000000000007</v>
      </c>
      <c r="H31" s="403"/>
      <c r="I31" s="365"/>
      <c r="J31" s="365"/>
      <c r="K31" s="365"/>
      <c r="L31" s="78"/>
      <c r="M31" s="78"/>
      <c r="N31" s="78"/>
      <c r="O31" s="79"/>
    </row>
    <row r="32" spans="1:15" hidden="1" x14ac:dyDescent="0.2">
      <c r="A32" s="189"/>
      <c r="B32" s="578"/>
      <c r="C32" s="381">
        <f>B11</f>
        <v>600</v>
      </c>
      <c r="D32" s="574">
        <f>C11</f>
        <v>475</v>
      </c>
      <c r="E32" s="574"/>
      <c r="F32" s="462">
        <f>D11</f>
        <v>1.6</v>
      </c>
      <c r="G32" s="462">
        <f>D32*F32</f>
        <v>760</v>
      </c>
      <c r="H32" s="403"/>
      <c r="I32" s="458"/>
      <c r="J32" s="458"/>
      <c r="K32" s="458"/>
      <c r="L32" s="78"/>
      <c r="M32" s="78"/>
      <c r="N32" s="78"/>
      <c r="O32" s="79"/>
    </row>
    <row r="33" spans="1:15" hidden="1" x14ac:dyDescent="0.2">
      <c r="A33" s="189"/>
      <c r="B33" s="579" t="s">
        <v>194</v>
      </c>
      <c r="C33" s="378" t="s">
        <v>2</v>
      </c>
      <c r="D33" s="573" t="s">
        <v>189</v>
      </c>
      <c r="E33" s="573"/>
      <c r="F33" s="371" t="s">
        <v>84</v>
      </c>
      <c r="G33" s="371"/>
      <c r="H33" s="403"/>
      <c r="I33" s="365"/>
      <c r="J33" s="365"/>
      <c r="K33" s="365"/>
      <c r="L33" s="78"/>
      <c r="M33" s="78"/>
      <c r="N33" s="78"/>
      <c r="O33" s="79"/>
    </row>
    <row r="34" spans="1:15" hidden="1" x14ac:dyDescent="0.2">
      <c r="A34" s="189"/>
      <c r="B34" s="579"/>
      <c r="C34" s="381">
        <f>B21</f>
        <v>400</v>
      </c>
      <c r="D34" s="574">
        <f>C24</f>
        <v>216</v>
      </c>
      <c r="E34" s="574"/>
      <c r="F34" s="383">
        <f>D21</f>
        <v>1</v>
      </c>
      <c r="G34" s="383">
        <f>D34*F34</f>
        <v>216</v>
      </c>
      <c r="H34" s="403"/>
      <c r="I34" s="365"/>
      <c r="J34" s="365"/>
      <c r="K34" s="365"/>
      <c r="L34" s="78"/>
      <c r="M34" s="78"/>
      <c r="N34" s="78"/>
      <c r="O34" s="79"/>
    </row>
    <row r="35" spans="1:15" hidden="1" x14ac:dyDescent="0.2">
      <c r="A35" s="189"/>
      <c r="B35" s="365"/>
      <c r="C35" s="365"/>
      <c r="D35" s="365"/>
      <c r="E35" s="403"/>
      <c r="F35" s="365"/>
      <c r="G35" s="365"/>
      <c r="H35" s="403"/>
      <c r="I35" s="365"/>
      <c r="J35" s="365"/>
      <c r="K35" s="365"/>
      <c r="L35" s="78"/>
      <c r="M35" s="78"/>
      <c r="N35" s="78"/>
      <c r="O35" s="79"/>
    </row>
    <row r="36" spans="1:15" hidden="1" x14ac:dyDescent="0.2">
      <c r="A36" s="189"/>
      <c r="B36" s="91" t="s">
        <v>138</v>
      </c>
      <c r="C36" s="372">
        <f>SUM(G31:G34)</f>
        <v>1697.8000000000002</v>
      </c>
      <c r="D36" s="92" t="s">
        <v>34</v>
      </c>
      <c r="E36" s="403"/>
      <c r="F36" s="365"/>
      <c r="G36" s="365"/>
      <c r="H36" s="403"/>
      <c r="I36" s="365"/>
      <c r="J36" s="365"/>
      <c r="K36" s="365"/>
      <c r="L36" s="78"/>
      <c r="M36" s="78"/>
      <c r="N36" s="78"/>
      <c r="O36" s="79"/>
    </row>
    <row r="37" spans="1:15" hidden="1" x14ac:dyDescent="0.2">
      <c r="A37" s="189"/>
      <c r="B37" s="365"/>
      <c r="C37" s="365"/>
      <c r="D37" s="365"/>
      <c r="E37" s="403"/>
      <c r="F37" s="365"/>
      <c r="G37" s="365"/>
      <c r="H37" s="403"/>
      <c r="I37" s="365"/>
      <c r="J37" s="365"/>
      <c r="K37" s="365"/>
      <c r="L37" s="78"/>
      <c r="M37" s="78"/>
      <c r="N37" s="78"/>
      <c r="O37" s="79"/>
    </row>
    <row r="38" spans="1:15" ht="22.5" hidden="1" customHeight="1" x14ac:dyDescent="0.2">
      <c r="A38" s="189" t="e">
        <f>'ORÇAMENTO DESONERADO'!#REF!</f>
        <v>#REF!</v>
      </c>
      <c r="B38" s="575" t="e">
        <f>'ORÇAMENTO DESONERADO'!#REF!</f>
        <v>#REF!</v>
      </c>
      <c r="C38" s="575"/>
      <c r="D38" s="575"/>
      <c r="E38" s="575"/>
      <c r="F38" s="575"/>
      <c r="G38" s="575"/>
      <c r="H38" s="575"/>
      <c r="I38" s="575"/>
      <c r="J38" s="575"/>
      <c r="K38" s="575"/>
      <c r="L38" s="78"/>
      <c r="M38" s="78"/>
      <c r="N38" s="78"/>
      <c r="O38" s="79"/>
    </row>
    <row r="39" spans="1:15" hidden="1" x14ac:dyDescent="0.2">
      <c r="A39" s="189"/>
      <c r="B39" s="365"/>
      <c r="C39" s="365"/>
      <c r="D39" s="365"/>
      <c r="E39" s="403"/>
      <c r="F39" s="365"/>
      <c r="G39" s="365"/>
      <c r="H39" s="403"/>
      <c r="I39" s="365"/>
      <c r="J39" s="365"/>
      <c r="K39" s="365"/>
      <c r="L39" s="78"/>
      <c r="M39" s="78"/>
      <c r="N39" s="78"/>
      <c r="O39" s="79"/>
    </row>
    <row r="40" spans="1:15" hidden="1" x14ac:dyDescent="0.2">
      <c r="A40" s="189"/>
      <c r="B40" s="576" t="s">
        <v>192</v>
      </c>
      <c r="C40" s="378" t="s">
        <v>308</v>
      </c>
      <c r="D40" s="573" t="s">
        <v>189</v>
      </c>
      <c r="E40" s="573"/>
      <c r="F40" s="371" t="s">
        <v>84</v>
      </c>
      <c r="G40" s="373" t="s">
        <v>43</v>
      </c>
      <c r="H40" s="371" t="s">
        <v>191</v>
      </c>
      <c r="I40" s="365"/>
      <c r="J40" s="365"/>
      <c r="K40" s="365"/>
      <c r="L40" s="78"/>
      <c r="M40" s="78"/>
      <c r="N40" s="78"/>
      <c r="O40" s="79"/>
    </row>
    <row r="41" spans="1:15" hidden="1" x14ac:dyDescent="0.2">
      <c r="A41" s="189"/>
      <c r="B41" s="577"/>
      <c r="C41" s="381">
        <f>C31</f>
        <v>800</v>
      </c>
      <c r="D41" s="610">
        <f>D31</f>
        <v>401</v>
      </c>
      <c r="E41" s="611"/>
      <c r="F41" s="199">
        <f>F31</f>
        <v>1.8</v>
      </c>
      <c r="G41" s="457">
        <v>0.15</v>
      </c>
      <c r="H41" s="462">
        <f>D41*F41*G41</f>
        <v>108.27000000000001</v>
      </c>
      <c r="I41" s="458"/>
      <c r="J41" s="458"/>
      <c r="K41" s="458"/>
      <c r="L41" s="78"/>
      <c r="M41" s="78"/>
      <c r="N41" s="78"/>
      <c r="O41" s="79"/>
    </row>
    <row r="42" spans="1:15" hidden="1" x14ac:dyDescent="0.2">
      <c r="A42" s="189"/>
      <c r="B42" s="578"/>
      <c r="C42" s="381">
        <f>C32</f>
        <v>600</v>
      </c>
      <c r="D42" s="574">
        <f>D32</f>
        <v>475</v>
      </c>
      <c r="E42" s="574"/>
      <c r="F42" s="383">
        <f>F32</f>
        <v>1.6</v>
      </c>
      <c r="G42" s="373">
        <v>0.15</v>
      </c>
      <c r="H42" s="383">
        <f>D42*F42*G42</f>
        <v>114</v>
      </c>
      <c r="I42" s="365"/>
      <c r="J42" s="365"/>
      <c r="K42" s="365"/>
      <c r="L42" s="78"/>
      <c r="M42" s="78"/>
      <c r="N42" s="78"/>
      <c r="O42" s="79"/>
    </row>
    <row r="43" spans="1:15" ht="15" hidden="1" customHeight="1" x14ac:dyDescent="0.2">
      <c r="A43" s="189"/>
      <c r="B43" s="579" t="s">
        <v>194</v>
      </c>
      <c r="C43" s="612">
        <f>C34</f>
        <v>400</v>
      </c>
      <c r="D43" s="573" t="s">
        <v>189</v>
      </c>
      <c r="E43" s="573"/>
      <c r="F43" s="371" t="s">
        <v>84</v>
      </c>
      <c r="G43" s="373"/>
      <c r="H43" s="371"/>
      <c r="I43" s="365"/>
      <c r="J43" s="365"/>
      <c r="K43" s="365"/>
      <c r="L43" s="78"/>
      <c r="M43" s="78"/>
      <c r="N43" s="78"/>
      <c r="O43" s="79"/>
    </row>
    <row r="44" spans="1:15" hidden="1" x14ac:dyDescent="0.2">
      <c r="A44" s="189"/>
      <c r="B44" s="579"/>
      <c r="C44" s="613"/>
      <c r="D44" s="574">
        <f>D34</f>
        <v>216</v>
      </c>
      <c r="E44" s="574"/>
      <c r="F44" s="383">
        <f>F34</f>
        <v>1</v>
      </c>
      <c r="G44" s="373">
        <f>G42</f>
        <v>0.15</v>
      </c>
      <c r="H44" s="383">
        <f>D44*F44*G44</f>
        <v>32.4</v>
      </c>
      <c r="I44" s="365"/>
      <c r="J44" s="365"/>
      <c r="K44" s="365"/>
      <c r="L44" s="78"/>
      <c r="M44" s="78"/>
      <c r="N44" s="78"/>
      <c r="O44" s="79"/>
    </row>
    <row r="45" spans="1:15" hidden="1" x14ac:dyDescent="0.2">
      <c r="A45" s="189"/>
      <c r="B45" s="365"/>
      <c r="C45" s="365"/>
      <c r="D45" s="365"/>
      <c r="E45" s="403"/>
      <c r="F45" s="365"/>
      <c r="G45" s="365"/>
      <c r="H45" s="403"/>
      <c r="I45" s="365"/>
      <c r="J45" s="365"/>
      <c r="K45" s="365"/>
      <c r="L45" s="78"/>
      <c r="M45" s="78"/>
      <c r="N45" s="78"/>
      <c r="O45" s="79"/>
    </row>
    <row r="46" spans="1:15" hidden="1" x14ac:dyDescent="0.2">
      <c r="A46" s="189"/>
      <c r="B46" s="91" t="s">
        <v>138</v>
      </c>
      <c r="C46" s="372">
        <f>SUM(H41:H44)</f>
        <v>254.67000000000002</v>
      </c>
      <c r="D46" s="92" t="s">
        <v>36</v>
      </c>
      <c r="E46" s="403"/>
      <c r="F46" s="365"/>
      <c r="G46" s="365"/>
      <c r="H46" s="403"/>
      <c r="I46" s="365"/>
      <c r="J46" s="365"/>
      <c r="K46" s="365"/>
      <c r="L46" s="78"/>
      <c r="M46" s="78"/>
      <c r="N46" s="78"/>
      <c r="O46" s="79"/>
    </row>
    <row r="47" spans="1:15" hidden="1" x14ac:dyDescent="0.2">
      <c r="A47" s="189"/>
      <c r="B47" s="365"/>
      <c r="C47" s="365"/>
      <c r="D47" s="365"/>
      <c r="E47" s="403"/>
      <c r="F47" s="365"/>
      <c r="G47" s="365"/>
      <c r="H47" s="403"/>
      <c r="I47" s="365"/>
      <c r="J47" s="365"/>
      <c r="K47" s="365"/>
      <c r="L47" s="78"/>
      <c r="M47" s="78"/>
      <c r="N47" s="78"/>
      <c r="O47" s="79"/>
    </row>
    <row r="48" spans="1:15" ht="31.5" hidden="1" customHeight="1" x14ac:dyDescent="0.2">
      <c r="A48" s="189" t="e">
        <f>'ORÇAMENTO DESONERADO'!#REF!</f>
        <v>#REF!</v>
      </c>
      <c r="B48" s="575" t="e">
        <f>'ORÇAMENTO DESONERADO'!#REF!</f>
        <v>#REF!</v>
      </c>
      <c r="C48" s="575"/>
      <c r="D48" s="575"/>
      <c r="E48" s="575"/>
      <c r="F48" s="575"/>
      <c r="G48" s="575"/>
      <c r="H48" s="575"/>
      <c r="I48" s="575"/>
      <c r="J48" s="575"/>
      <c r="K48" s="575"/>
      <c r="L48" s="78"/>
      <c r="M48" s="78"/>
      <c r="N48" s="78"/>
      <c r="O48" s="79"/>
    </row>
    <row r="49" spans="1:17" hidden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78"/>
      <c r="M49" s="78"/>
      <c r="N49" s="78"/>
      <c r="O49" s="79"/>
    </row>
    <row r="50" spans="1:17" hidden="1" x14ac:dyDescent="0.2">
      <c r="A50" s="189"/>
      <c r="B50" s="576" t="s">
        <v>192</v>
      </c>
      <c r="C50" s="378" t="s">
        <v>308</v>
      </c>
      <c r="D50" s="573" t="s">
        <v>189</v>
      </c>
      <c r="E50" s="573"/>
      <c r="F50" s="365"/>
      <c r="G50" s="365"/>
      <c r="H50" s="403"/>
      <c r="I50" s="365"/>
      <c r="J50" s="365"/>
      <c r="K50" s="365"/>
      <c r="L50" s="78"/>
      <c r="M50" s="78"/>
      <c r="N50" s="78"/>
      <c r="O50" s="79"/>
    </row>
    <row r="51" spans="1:17" hidden="1" x14ac:dyDescent="0.2">
      <c r="A51" s="189"/>
      <c r="B51" s="578"/>
      <c r="C51" s="381">
        <f>C41</f>
        <v>800</v>
      </c>
      <c r="D51" s="574">
        <f>D41</f>
        <v>401</v>
      </c>
      <c r="E51" s="574"/>
      <c r="F51" s="365"/>
      <c r="G51" s="365"/>
      <c r="H51" s="403"/>
      <c r="I51" s="365"/>
      <c r="J51" s="365"/>
      <c r="K51" s="365"/>
      <c r="L51" s="78"/>
      <c r="M51" s="78"/>
      <c r="N51" s="78"/>
      <c r="O51" s="79"/>
    </row>
    <row r="52" spans="1:17" hidden="1" x14ac:dyDescent="0.2">
      <c r="A52" s="189"/>
      <c r="F52" s="365"/>
      <c r="G52" s="365"/>
      <c r="H52" s="403"/>
      <c r="I52" s="365"/>
      <c r="J52" s="365"/>
      <c r="K52" s="365"/>
      <c r="L52" s="78"/>
      <c r="M52" s="78"/>
      <c r="N52" s="78"/>
      <c r="O52" s="79"/>
    </row>
    <row r="53" spans="1:17" hidden="1" x14ac:dyDescent="0.2">
      <c r="A53" s="189"/>
      <c r="B53" s="91" t="s">
        <v>138</v>
      </c>
      <c r="C53" s="372">
        <f>D51</f>
        <v>401</v>
      </c>
      <c r="D53" s="92" t="s">
        <v>142</v>
      </c>
      <c r="F53" s="365"/>
      <c r="G53" s="365"/>
      <c r="H53" s="403"/>
      <c r="I53" s="365"/>
      <c r="J53" s="365"/>
      <c r="K53" s="365"/>
      <c r="L53" s="78"/>
      <c r="M53" s="78"/>
      <c r="N53" s="78"/>
      <c r="O53" s="79"/>
    </row>
    <row r="54" spans="1:17" hidden="1" x14ac:dyDescent="0.2">
      <c r="A54" s="189"/>
      <c r="B54" s="365"/>
      <c r="C54" s="365"/>
      <c r="D54" s="365"/>
      <c r="E54" s="403"/>
      <c r="F54" s="365"/>
      <c r="G54" s="365"/>
      <c r="H54" s="403"/>
      <c r="I54" s="365"/>
      <c r="J54" s="365"/>
      <c r="K54" s="365"/>
      <c r="L54" s="78"/>
      <c r="M54" s="78"/>
      <c r="N54" s="78"/>
      <c r="O54" s="79"/>
    </row>
    <row r="55" spans="1:17" ht="25.5" hidden="1" customHeight="1" x14ac:dyDescent="0.2">
      <c r="A55" s="189" t="e">
        <f>'ORÇAMENTO DESONERADO'!#REF!</f>
        <v>#REF!</v>
      </c>
      <c r="B55" s="575" t="e">
        <f>'ORÇAMENTO DESONERADO'!#REF!</f>
        <v>#REF!</v>
      </c>
      <c r="C55" s="575"/>
      <c r="D55" s="575"/>
      <c r="E55" s="575"/>
      <c r="F55" s="575"/>
      <c r="G55" s="575"/>
      <c r="H55" s="575"/>
      <c r="I55" s="575"/>
      <c r="J55" s="575"/>
      <c r="K55" s="575"/>
      <c r="L55" s="78"/>
      <c r="M55" s="78"/>
      <c r="N55" s="78"/>
      <c r="O55" s="79"/>
    </row>
    <row r="56" spans="1:17" hidden="1" x14ac:dyDescent="0.2">
      <c r="A56" s="189"/>
      <c r="B56" s="458"/>
      <c r="C56" s="458"/>
      <c r="D56" s="458"/>
      <c r="E56" s="403"/>
      <c r="F56" s="458"/>
      <c r="G56" s="458"/>
      <c r="H56" s="403"/>
      <c r="I56" s="458"/>
      <c r="J56" s="458"/>
      <c r="K56" s="458"/>
      <c r="L56" s="78"/>
      <c r="M56" s="78"/>
      <c r="N56" s="78"/>
      <c r="O56" s="79"/>
    </row>
    <row r="57" spans="1:17" hidden="1" x14ac:dyDescent="0.2">
      <c r="A57" s="189"/>
      <c r="B57" s="576" t="s">
        <v>192</v>
      </c>
      <c r="C57" s="378" t="s">
        <v>308</v>
      </c>
      <c r="D57" s="573" t="s">
        <v>189</v>
      </c>
      <c r="E57" s="573"/>
      <c r="F57" s="458"/>
      <c r="G57" s="458"/>
      <c r="H57" s="403"/>
      <c r="I57" s="458"/>
      <c r="J57" s="458"/>
      <c r="K57" s="458"/>
      <c r="L57" s="78"/>
      <c r="M57" s="78"/>
      <c r="N57" s="78"/>
      <c r="O57" s="79"/>
    </row>
    <row r="58" spans="1:17" hidden="1" x14ac:dyDescent="0.2">
      <c r="A58" s="189"/>
      <c r="B58" s="578"/>
      <c r="C58" s="381">
        <f>C42</f>
        <v>600</v>
      </c>
      <c r="D58" s="574">
        <f>D42</f>
        <v>475</v>
      </c>
      <c r="E58" s="574"/>
      <c r="F58" s="458"/>
      <c r="G58" s="458"/>
      <c r="H58" s="403"/>
      <c r="I58" s="458"/>
      <c r="J58" s="458"/>
      <c r="K58" s="458"/>
      <c r="L58" s="78"/>
      <c r="M58" s="78"/>
      <c r="N58" s="78"/>
      <c r="O58" s="79"/>
    </row>
    <row r="59" spans="1:17" hidden="1" x14ac:dyDescent="0.2">
      <c r="A59" s="189"/>
      <c r="B59" s="458"/>
      <c r="C59" s="458"/>
      <c r="D59" s="458"/>
      <c r="E59" s="403"/>
      <c r="F59" s="458"/>
      <c r="G59" s="458"/>
      <c r="H59" s="403"/>
      <c r="I59" s="458"/>
      <c r="J59" s="458"/>
      <c r="K59" s="458"/>
      <c r="L59" s="78"/>
      <c r="M59" s="78"/>
      <c r="N59" s="78"/>
      <c r="O59" s="79"/>
    </row>
    <row r="60" spans="1:17" hidden="1" x14ac:dyDescent="0.2">
      <c r="A60" s="189"/>
      <c r="B60" s="91" t="s">
        <v>138</v>
      </c>
      <c r="C60" s="463">
        <f>D58</f>
        <v>475</v>
      </c>
      <c r="D60" s="92" t="s">
        <v>142</v>
      </c>
      <c r="E60" s="403"/>
      <c r="F60" s="458"/>
      <c r="G60" s="458"/>
      <c r="H60" s="403"/>
      <c r="I60" s="458"/>
      <c r="J60" s="458"/>
      <c r="K60" s="458"/>
      <c r="L60" s="78"/>
      <c r="M60" s="78"/>
      <c r="N60" s="78"/>
      <c r="O60" s="79"/>
    </row>
    <row r="61" spans="1:17" hidden="1" x14ac:dyDescent="0.2">
      <c r="A61" s="189"/>
      <c r="B61" s="189"/>
      <c r="C61" s="189"/>
      <c r="D61" s="189"/>
      <c r="E61" s="189"/>
      <c r="F61" s="189"/>
      <c r="G61" s="189"/>
      <c r="H61" s="403"/>
      <c r="I61" s="458"/>
      <c r="J61" s="458"/>
      <c r="K61" s="458"/>
      <c r="L61" s="78"/>
      <c r="M61" s="78"/>
      <c r="N61" s="78"/>
      <c r="O61" s="79"/>
    </row>
    <row r="62" spans="1:17" ht="32.25" hidden="1" customHeight="1" x14ac:dyDescent="0.2">
      <c r="A62" s="189" t="e">
        <f>'ORÇAMENTO DESONERADO'!#REF!</f>
        <v>#REF!</v>
      </c>
      <c r="B62" s="575" t="e">
        <f>'ORÇAMENTO DESONERADO'!#REF!</f>
        <v>#REF!</v>
      </c>
      <c r="C62" s="575"/>
      <c r="D62" s="575"/>
      <c r="E62" s="575"/>
      <c r="F62" s="575"/>
      <c r="G62" s="575"/>
      <c r="H62" s="575"/>
      <c r="I62" s="575"/>
      <c r="J62" s="575"/>
      <c r="K62" s="575"/>
      <c r="L62" s="78"/>
      <c r="M62" s="78"/>
      <c r="N62" s="78"/>
      <c r="O62" s="79"/>
      <c r="Q62" s="338"/>
    </row>
    <row r="63" spans="1:17" hidden="1" x14ac:dyDescent="0.2">
      <c r="A63" s="189"/>
      <c r="B63" s="365"/>
      <c r="C63" s="365"/>
      <c r="D63" s="365"/>
      <c r="E63" s="403"/>
      <c r="F63" s="365"/>
      <c r="G63" s="365"/>
      <c r="H63" s="403"/>
      <c r="I63" s="365"/>
      <c r="J63" s="365"/>
      <c r="K63" s="365"/>
      <c r="L63" s="78"/>
      <c r="M63" s="78"/>
      <c r="N63" s="78"/>
      <c r="O63" s="79"/>
      <c r="Q63" s="339"/>
    </row>
    <row r="64" spans="1:17" hidden="1" x14ac:dyDescent="0.2">
      <c r="A64" s="189"/>
      <c r="B64" s="579" t="s">
        <v>194</v>
      </c>
      <c r="C64" s="378" t="s">
        <v>2</v>
      </c>
      <c r="D64" s="573" t="s">
        <v>189</v>
      </c>
      <c r="E64" s="573"/>
      <c r="F64" s="365"/>
      <c r="G64" s="365"/>
      <c r="H64" s="403"/>
      <c r="I64" s="365"/>
      <c r="J64" s="365"/>
      <c r="K64" s="365"/>
      <c r="L64" s="78"/>
      <c r="M64" s="78"/>
      <c r="N64" s="78"/>
      <c r="O64" s="79"/>
    </row>
    <row r="65" spans="1:15" hidden="1" x14ac:dyDescent="0.2">
      <c r="A65" s="189"/>
      <c r="B65" s="579"/>
      <c r="C65" s="381">
        <f>C43</f>
        <v>400</v>
      </c>
      <c r="D65" s="574">
        <f>D44</f>
        <v>216</v>
      </c>
      <c r="E65" s="574"/>
      <c r="F65" s="365"/>
      <c r="G65" s="365"/>
      <c r="H65" s="403"/>
      <c r="I65" s="365"/>
      <c r="J65" s="365"/>
      <c r="K65" s="365"/>
      <c r="L65" s="78"/>
      <c r="M65" s="78"/>
      <c r="N65" s="78"/>
      <c r="O65" s="79"/>
    </row>
    <row r="66" spans="1:15" hidden="1" x14ac:dyDescent="0.2">
      <c r="A66" s="189"/>
      <c r="B66" s="365"/>
      <c r="C66" s="365"/>
      <c r="D66" s="365"/>
      <c r="E66" s="403"/>
      <c r="F66" s="365"/>
      <c r="G66" s="365"/>
      <c r="H66" s="403"/>
      <c r="I66" s="365"/>
      <c r="J66" s="365"/>
      <c r="K66" s="365"/>
      <c r="L66" s="78"/>
      <c r="M66" s="78"/>
      <c r="N66" s="78"/>
      <c r="O66" s="79"/>
    </row>
    <row r="67" spans="1:15" hidden="1" x14ac:dyDescent="0.2">
      <c r="A67" s="189"/>
      <c r="B67" s="91" t="s">
        <v>138</v>
      </c>
      <c r="C67" s="372">
        <f>D65</f>
        <v>216</v>
      </c>
      <c r="D67" s="92" t="s">
        <v>142</v>
      </c>
      <c r="E67" s="403"/>
      <c r="F67" s="365"/>
      <c r="G67" s="365"/>
      <c r="H67" s="403"/>
      <c r="I67" s="365"/>
      <c r="J67" s="365"/>
      <c r="K67" s="365"/>
      <c r="L67" s="78"/>
      <c r="M67" s="78"/>
      <c r="N67" s="78"/>
      <c r="O67" s="79"/>
    </row>
    <row r="68" spans="1:15" hidden="1" x14ac:dyDescent="0.2">
      <c r="A68" s="189"/>
      <c r="B68" s="365"/>
      <c r="C68" s="365"/>
      <c r="D68" s="365"/>
      <c r="E68" s="403"/>
      <c r="F68" s="365"/>
      <c r="G68" s="365"/>
      <c r="H68" s="403"/>
      <c r="I68" s="365"/>
      <c r="J68" s="365"/>
      <c r="K68" s="365"/>
      <c r="L68" s="78"/>
      <c r="M68" s="78"/>
      <c r="N68" s="78"/>
      <c r="O68" s="79"/>
    </row>
    <row r="69" spans="1:15" ht="39.75" hidden="1" customHeight="1" x14ac:dyDescent="0.2">
      <c r="A69" s="189" t="e">
        <f>'ORÇAMENTO DESONERADO'!#REF!</f>
        <v>#REF!</v>
      </c>
      <c r="B69" s="575" t="e">
        <f>'ORÇAMENTO DESONERADO'!#REF!</f>
        <v>#REF!</v>
      </c>
      <c r="C69" s="575"/>
      <c r="D69" s="575"/>
      <c r="E69" s="575"/>
      <c r="F69" s="575"/>
      <c r="G69" s="575"/>
      <c r="H69" s="575"/>
      <c r="I69" s="575"/>
      <c r="J69" s="575"/>
      <c r="K69" s="575"/>
      <c r="L69" s="78"/>
      <c r="M69" s="78"/>
      <c r="N69" s="78"/>
      <c r="O69" s="79"/>
    </row>
    <row r="70" spans="1:15" hidden="1" x14ac:dyDescent="0.2">
      <c r="A70" s="189"/>
      <c r="B70" s="365"/>
      <c r="C70" s="365"/>
      <c r="D70" s="365"/>
      <c r="E70" s="403"/>
      <c r="F70" s="365"/>
      <c r="G70" s="389"/>
      <c r="H70" s="407"/>
      <c r="I70" s="365"/>
      <c r="J70" s="365"/>
      <c r="K70" s="365"/>
      <c r="L70" s="78"/>
      <c r="M70" s="78"/>
      <c r="N70" s="78"/>
      <c r="O70" s="79"/>
    </row>
    <row r="71" spans="1:15" hidden="1" x14ac:dyDescent="0.2">
      <c r="A71" s="189"/>
      <c r="B71" s="392" t="s">
        <v>246</v>
      </c>
      <c r="C71" s="431" t="s">
        <v>195</v>
      </c>
      <c r="D71" s="431" t="s">
        <v>30</v>
      </c>
      <c r="E71" s="430" t="s">
        <v>199</v>
      </c>
      <c r="F71" s="394" t="s">
        <v>196</v>
      </c>
      <c r="G71" s="428" t="s">
        <v>197</v>
      </c>
      <c r="H71" s="407"/>
      <c r="I71" s="78"/>
      <c r="J71" s="79"/>
      <c r="K71" s="46"/>
    </row>
    <row r="72" spans="1:15" hidden="1" x14ac:dyDescent="0.2">
      <c r="A72" s="189"/>
      <c r="B72" s="393" t="str">
        <f>B50</f>
        <v>Rede principal</v>
      </c>
      <c r="C72" s="429">
        <f>C41</f>
        <v>800</v>
      </c>
      <c r="D72" s="432">
        <f>D41</f>
        <v>401</v>
      </c>
      <c r="E72" s="397">
        <v>0.88</v>
      </c>
      <c r="F72" s="432">
        <v>10</v>
      </c>
      <c r="G72" s="432">
        <f>D72*E72*F72</f>
        <v>3528.8</v>
      </c>
      <c r="H72" s="407"/>
      <c r="I72" s="78"/>
      <c r="J72" s="79"/>
      <c r="K72" s="46"/>
    </row>
    <row r="73" spans="1:15" hidden="1" x14ac:dyDescent="0.2">
      <c r="A73" s="189"/>
      <c r="B73" s="393" t="str">
        <f>B72</f>
        <v>Rede principal</v>
      </c>
      <c r="C73" s="459">
        <f>C42</f>
        <v>600</v>
      </c>
      <c r="D73" s="432">
        <f>D42</f>
        <v>475</v>
      </c>
      <c r="E73" s="397">
        <v>0.48</v>
      </c>
      <c r="F73" s="432">
        <v>10</v>
      </c>
      <c r="G73" s="432">
        <f t="shared" ref="G73:G74" si="0">D73*E73*F73</f>
        <v>2280</v>
      </c>
      <c r="H73" s="407"/>
      <c r="I73" s="78"/>
      <c r="J73" s="79"/>
      <c r="K73" s="46"/>
    </row>
    <row r="74" spans="1:15" hidden="1" x14ac:dyDescent="0.2">
      <c r="A74" s="189"/>
      <c r="B74" s="393" t="str">
        <f>B64</f>
        <v>Rede coletora</v>
      </c>
      <c r="C74" s="429">
        <v>400</v>
      </c>
      <c r="D74" s="432">
        <f>D65</f>
        <v>216</v>
      </c>
      <c r="E74" s="397">
        <f>150/1000</f>
        <v>0.15</v>
      </c>
      <c r="F74" s="432">
        <v>10</v>
      </c>
      <c r="G74" s="432">
        <f t="shared" si="0"/>
        <v>324</v>
      </c>
      <c r="H74" s="407"/>
      <c r="I74" s="78"/>
      <c r="J74" s="79"/>
      <c r="K74" s="46"/>
    </row>
    <row r="75" spans="1:15" hidden="1" x14ac:dyDescent="0.2">
      <c r="A75" s="189"/>
      <c r="B75" s="365"/>
      <c r="C75" s="365"/>
      <c r="D75" s="365"/>
      <c r="E75" s="403"/>
      <c r="F75" s="365"/>
      <c r="G75" s="365"/>
      <c r="H75" s="407"/>
      <c r="I75" s="365"/>
      <c r="J75" s="365"/>
      <c r="K75" s="365"/>
      <c r="L75" s="78"/>
      <c r="M75" s="78"/>
      <c r="N75" s="78"/>
      <c r="O75" s="79"/>
    </row>
    <row r="76" spans="1:15" hidden="1" x14ac:dyDescent="0.2">
      <c r="A76" s="189"/>
      <c r="B76" s="91" t="s">
        <v>138</v>
      </c>
      <c r="C76" s="372">
        <f>SUM(G72:G74)</f>
        <v>6132.8</v>
      </c>
      <c r="D76" s="92" t="s">
        <v>198</v>
      </c>
      <c r="E76" s="403"/>
      <c r="F76" s="365"/>
      <c r="G76" s="365"/>
      <c r="H76" s="403"/>
      <c r="I76" s="365"/>
      <c r="J76" s="365"/>
      <c r="K76" s="365"/>
      <c r="L76" s="78"/>
      <c r="M76" s="78"/>
      <c r="N76" s="78"/>
      <c r="O76" s="79"/>
    </row>
    <row r="77" spans="1:15" hidden="1" x14ac:dyDescent="0.2">
      <c r="A77" s="189"/>
      <c r="B77" s="365"/>
      <c r="C77" s="365"/>
      <c r="D77" s="365"/>
      <c r="E77" s="403"/>
      <c r="F77" s="365"/>
      <c r="G77" s="365"/>
      <c r="H77" s="403"/>
      <c r="I77" s="365"/>
      <c r="J77" s="365"/>
      <c r="K77" s="365"/>
      <c r="L77" s="78"/>
      <c r="M77" s="78"/>
      <c r="N77" s="78"/>
      <c r="O77" s="79"/>
    </row>
    <row r="78" spans="1:15" ht="30" hidden="1" customHeight="1" x14ac:dyDescent="0.2">
      <c r="A78" s="189" t="e">
        <f>'ORÇAMENTO DESONERADO'!#REF!</f>
        <v>#REF!</v>
      </c>
      <c r="B78" s="575" t="e">
        <f>'ORÇAMENTO DESONERADO'!#REF!</f>
        <v>#REF!</v>
      </c>
      <c r="C78" s="575"/>
      <c r="D78" s="575"/>
      <c r="E78" s="575"/>
      <c r="F78" s="575"/>
      <c r="G78" s="575"/>
      <c r="H78" s="575"/>
      <c r="I78" s="575"/>
      <c r="J78" s="575"/>
      <c r="K78" s="575"/>
      <c r="L78" s="78"/>
      <c r="M78" s="78"/>
      <c r="N78" s="78"/>
      <c r="O78" s="79"/>
    </row>
    <row r="79" spans="1:15" hidden="1" x14ac:dyDescent="0.2">
      <c r="A79" s="189"/>
      <c r="B79" s="365"/>
      <c r="C79" s="365"/>
      <c r="D79" s="365"/>
      <c r="E79" s="403"/>
      <c r="F79" s="365"/>
      <c r="G79" s="365"/>
      <c r="H79" s="403"/>
      <c r="I79" s="365"/>
      <c r="J79" s="365"/>
      <c r="K79" s="365"/>
      <c r="L79" s="78"/>
      <c r="M79" s="78"/>
      <c r="N79" s="78"/>
      <c r="O79" s="79"/>
    </row>
    <row r="80" spans="1:15" ht="25.5" hidden="1" x14ac:dyDescent="0.2">
      <c r="A80" s="189"/>
      <c r="B80" s="379" t="s">
        <v>189</v>
      </c>
      <c r="C80" s="371" t="s">
        <v>84</v>
      </c>
      <c r="D80" s="380" t="s">
        <v>190</v>
      </c>
      <c r="E80" s="370" t="s">
        <v>200</v>
      </c>
      <c r="F80" s="473" t="s">
        <v>313</v>
      </c>
      <c r="G80" s="371" t="s">
        <v>191</v>
      </c>
      <c r="H80" s="365"/>
      <c r="I80" s="365"/>
      <c r="J80" s="365"/>
      <c r="K80" s="78"/>
      <c r="L80" s="78"/>
      <c r="M80" s="78"/>
      <c r="N80" s="79"/>
    </row>
    <row r="81" spans="1:15" hidden="1" x14ac:dyDescent="0.2">
      <c r="A81" s="189"/>
      <c r="B81" s="382">
        <f>D41</f>
        <v>401</v>
      </c>
      <c r="C81" s="383">
        <f>F31</f>
        <v>1.8</v>
      </c>
      <c r="D81" s="384">
        <f>E10</f>
        <v>2</v>
      </c>
      <c r="E81" s="469">
        <v>0.98</v>
      </c>
      <c r="F81" s="474">
        <v>0.7</v>
      </c>
      <c r="G81" s="383">
        <f>(((C81*D81)-E81)*B81)*F81</f>
        <v>735.43400000000008</v>
      </c>
      <c r="H81" s="365"/>
      <c r="I81" s="365"/>
      <c r="J81" s="365"/>
      <c r="K81" s="78"/>
      <c r="L81" s="78"/>
      <c r="M81" s="78"/>
      <c r="N81" s="79"/>
    </row>
    <row r="82" spans="1:15" hidden="1" x14ac:dyDescent="0.2">
      <c r="A82" s="189"/>
      <c r="B82" s="382">
        <f>D32</f>
        <v>475</v>
      </c>
      <c r="C82" s="462">
        <f t="shared" ref="C82" si="1">F32</f>
        <v>1.6</v>
      </c>
      <c r="D82" s="384">
        <f>E11</f>
        <v>1.5</v>
      </c>
      <c r="E82" s="469">
        <v>0.74870000000000003</v>
      </c>
      <c r="F82" s="474">
        <v>0.7</v>
      </c>
      <c r="G82" s="462">
        <f>(((C82*D82)-E82)*B82)*F82</f>
        <v>549.05725000000007</v>
      </c>
      <c r="H82" s="458"/>
      <c r="I82" s="458"/>
      <c r="J82" s="458"/>
      <c r="K82" s="78"/>
      <c r="L82" s="78">
        <v>4.88</v>
      </c>
      <c r="M82" s="78">
        <v>1.6</v>
      </c>
      <c r="N82" s="79"/>
      <c r="O82" s="46">
        <f>M82*L82</f>
        <v>7.8079999999999998</v>
      </c>
    </row>
    <row r="83" spans="1:15" hidden="1" x14ac:dyDescent="0.2">
      <c r="A83" s="189"/>
      <c r="B83" s="382">
        <f>D34</f>
        <v>216</v>
      </c>
      <c r="C83" s="462">
        <f>F44</f>
        <v>1</v>
      </c>
      <c r="D83" s="384">
        <f>E21</f>
        <v>1.1499999999999999</v>
      </c>
      <c r="E83" s="469">
        <v>0.48</v>
      </c>
      <c r="F83" s="474">
        <v>0.7</v>
      </c>
      <c r="G83" s="462">
        <f>(((C83*D83)-E83)*B83)*F83</f>
        <v>101.30399999999997</v>
      </c>
      <c r="H83" s="458"/>
      <c r="I83" s="458"/>
      <c r="J83" s="458"/>
      <c r="K83" s="78"/>
      <c r="L83" s="78">
        <v>4.88</v>
      </c>
      <c r="M83" s="78">
        <v>1.6</v>
      </c>
      <c r="N83" s="79"/>
      <c r="O83" s="46">
        <f t="shared" ref="O83:O98" si="2">M83*L83</f>
        <v>7.8079999999999998</v>
      </c>
    </row>
    <row r="84" spans="1:15" hidden="1" x14ac:dyDescent="0.2">
      <c r="A84" s="189"/>
      <c r="B84" s="387"/>
      <c r="C84" s="387"/>
      <c r="D84" s="467"/>
      <c r="E84" s="470"/>
      <c r="F84" s="387"/>
      <c r="G84" s="403"/>
      <c r="H84" s="458"/>
      <c r="I84" s="458"/>
      <c r="J84" s="458"/>
      <c r="K84" s="78"/>
      <c r="L84" s="78">
        <v>4.88</v>
      </c>
      <c r="M84" s="78">
        <v>1.6</v>
      </c>
      <c r="N84" s="79"/>
      <c r="O84" s="46">
        <f t="shared" si="2"/>
        <v>7.8079999999999998</v>
      </c>
    </row>
    <row r="85" spans="1:15" hidden="1" x14ac:dyDescent="0.2">
      <c r="A85" s="189"/>
      <c r="B85" s="387"/>
      <c r="C85" s="387"/>
      <c r="D85" s="467"/>
      <c r="E85" s="470"/>
      <c r="F85" s="387"/>
      <c r="G85" s="403"/>
      <c r="H85" s="458"/>
      <c r="I85" s="458"/>
      <c r="J85" s="458"/>
      <c r="K85" s="78"/>
      <c r="L85" s="78">
        <v>4.88</v>
      </c>
      <c r="M85" s="78">
        <v>1.63</v>
      </c>
      <c r="N85" s="79"/>
      <c r="O85" s="46">
        <f t="shared" si="2"/>
        <v>7.9543999999999997</v>
      </c>
    </row>
    <row r="86" spans="1:15" hidden="1" x14ac:dyDescent="0.2">
      <c r="A86" s="189"/>
      <c r="B86" s="471" t="s">
        <v>310</v>
      </c>
      <c r="C86" s="462" t="s">
        <v>309</v>
      </c>
      <c r="D86" s="460" t="s">
        <v>84</v>
      </c>
      <c r="E86" s="460" t="s">
        <v>3</v>
      </c>
      <c r="F86" s="461" t="s">
        <v>190</v>
      </c>
      <c r="G86" s="460" t="s">
        <v>191</v>
      </c>
      <c r="H86" s="458"/>
      <c r="I86" s="458"/>
      <c r="J86" s="458"/>
      <c r="K86" s="78"/>
      <c r="L86" s="78">
        <v>4.88</v>
      </c>
      <c r="M86" s="78">
        <v>1.75</v>
      </c>
      <c r="N86" s="79"/>
      <c r="O86" s="46">
        <f t="shared" si="2"/>
        <v>8.5399999999999991</v>
      </c>
    </row>
    <row r="87" spans="1:15" hidden="1" x14ac:dyDescent="0.2">
      <c r="A87" s="189"/>
      <c r="B87" s="471" t="s">
        <v>311</v>
      </c>
      <c r="C87" s="462">
        <v>10</v>
      </c>
      <c r="D87" s="462">
        <v>2.44</v>
      </c>
      <c r="E87" s="462">
        <v>1.6</v>
      </c>
      <c r="F87" s="386">
        <v>2</v>
      </c>
      <c r="G87" s="468">
        <f>(C87*(D87*F87*E87))</f>
        <v>78.08</v>
      </c>
      <c r="H87" s="458"/>
      <c r="I87" s="458"/>
      <c r="J87" s="458"/>
      <c r="K87" s="78"/>
      <c r="L87" s="78">
        <v>4.88</v>
      </c>
      <c r="M87" s="78">
        <v>2.09</v>
      </c>
      <c r="N87" s="79"/>
      <c r="O87" s="46">
        <f t="shared" si="2"/>
        <v>10.199199999999999</v>
      </c>
    </row>
    <row r="88" spans="1:15" hidden="1" x14ac:dyDescent="0.2">
      <c r="A88" s="189"/>
      <c r="B88" s="471" t="s">
        <v>312</v>
      </c>
      <c r="C88" s="462">
        <v>7</v>
      </c>
      <c r="D88" s="462">
        <v>2.65</v>
      </c>
      <c r="E88" s="462">
        <v>1.6</v>
      </c>
      <c r="F88" s="386">
        <v>2</v>
      </c>
      <c r="G88" s="468">
        <f>(C88*(D88*F88*E88))</f>
        <v>59.36</v>
      </c>
      <c r="H88" s="458"/>
      <c r="I88" s="458"/>
      <c r="J88" s="458"/>
      <c r="K88" s="78"/>
      <c r="L88" s="78">
        <v>4.88</v>
      </c>
      <c r="M88" s="78">
        <v>2.4300000000000002</v>
      </c>
      <c r="N88" s="79"/>
      <c r="O88" s="46">
        <f t="shared" si="2"/>
        <v>11.858400000000001</v>
      </c>
    </row>
    <row r="89" spans="1:15" hidden="1" x14ac:dyDescent="0.2">
      <c r="A89" s="189"/>
      <c r="B89" s="189"/>
      <c r="C89" s="189"/>
      <c r="D89" s="189"/>
      <c r="E89" s="189"/>
      <c r="F89" s="472"/>
      <c r="G89" s="365"/>
      <c r="H89" s="403"/>
      <c r="I89" s="365"/>
      <c r="J89" s="365"/>
      <c r="K89" s="365"/>
      <c r="L89" s="78">
        <v>4.88</v>
      </c>
      <c r="M89" s="78">
        <v>2.76</v>
      </c>
      <c r="N89" s="78"/>
      <c r="O89" s="46">
        <f t="shared" si="2"/>
        <v>13.468799999999998</v>
      </c>
    </row>
    <row r="90" spans="1:15" hidden="1" x14ac:dyDescent="0.2">
      <c r="A90" s="189"/>
      <c r="B90" s="91" t="s">
        <v>138</v>
      </c>
      <c r="C90" s="372">
        <f>SUM(G81:G83,G87:G88)</f>
        <v>1523.23525</v>
      </c>
      <c r="D90" s="92" t="s">
        <v>36</v>
      </c>
      <c r="E90" s="189"/>
      <c r="F90" s="365"/>
      <c r="G90" s="365"/>
      <c r="H90" s="403"/>
      <c r="I90" s="365"/>
      <c r="J90" s="365"/>
      <c r="K90" s="365"/>
      <c r="L90" s="78">
        <v>4.88</v>
      </c>
      <c r="M90" s="78">
        <v>3.1</v>
      </c>
      <c r="N90" s="78"/>
      <c r="O90" s="46">
        <f t="shared" si="2"/>
        <v>15.128</v>
      </c>
    </row>
    <row r="91" spans="1:15" hidden="1" x14ac:dyDescent="0.2">
      <c r="A91" s="189"/>
      <c r="B91" s="189"/>
      <c r="C91" s="189"/>
      <c r="D91" s="189"/>
      <c r="E91" s="189"/>
      <c r="F91" s="365"/>
      <c r="G91" s="365"/>
      <c r="H91" s="403"/>
      <c r="I91" s="365"/>
      <c r="J91" s="365"/>
      <c r="K91" s="365"/>
      <c r="L91" s="78">
        <v>4.88</v>
      </c>
      <c r="M91" s="78">
        <v>3.58</v>
      </c>
      <c r="N91" s="78"/>
      <c r="O91" s="46">
        <f t="shared" si="2"/>
        <v>17.470400000000001</v>
      </c>
    </row>
    <row r="92" spans="1:15" ht="18" hidden="1" customHeight="1" x14ac:dyDescent="0.2">
      <c r="A92" s="189" t="e">
        <f>'ORÇAMENTO DESONERADO'!#REF!</f>
        <v>#REF!</v>
      </c>
      <c r="B92" s="575" t="e">
        <f>'ORÇAMENTO DESONERADO'!#REF!</f>
        <v>#REF!</v>
      </c>
      <c r="C92" s="575"/>
      <c r="D92" s="575"/>
      <c r="E92" s="575"/>
      <c r="F92" s="575"/>
      <c r="G92" s="575"/>
      <c r="H92" s="575"/>
      <c r="I92" s="575"/>
      <c r="J92" s="575"/>
      <c r="K92" s="575"/>
      <c r="L92" s="78">
        <v>5.3</v>
      </c>
      <c r="M92" s="78">
        <v>4.05</v>
      </c>
      <c r="N92" s="78"/>
      <c r="O92" s="46">
        <f t="shared" si="2"/>
        <v>21.465</v>
      </c>
    </row>
    <row r="93" spans="1:15" hidden="1" x14ac:dyDescent="0.2">
      <c r="A93" s="189"/>
      <c r="B93" s="365"/>
      <c r="C93" s="365"/>
      <c r="D93" s="365"/>
      <c r="E93" s="403"/>
      <c r="F93" s="365"/>
      <c r="G93" s="365"/>
      <c r="H93" s="403"/>
      <c r="I93" s="365"/>
      <c r="J93" s="365"/>
      <c r="K93" s="365"/>
      <c r="L93" s="78">
        <v>5.3</v>
      </c>
      <c r="M93" s="78">
        <v>3.45</v>
      </c>
      <c r="N93" s="78"/>
      <c r="O93" s="46">
        <f t="shared" si="2"/>
        <v>18.285</v>
      </c>
    </row>
    <row r="94" spans="1:15" hidden="1" x14ac:dyDescent="0.2">
      <c r="A94" s="189"/>
      <c r="B94" s="371" t="s">
        <v>45</v>
      </c>
      <c r="C94" s="390"/>
      <c r="D94" s="371" t="s">
        <v>117</v>
      </c>
      <c r="E94" s="373"/>
      <c r="F94" s="373" t="s">
        <v>46</v>
      </c>
      <c r="G94" s="371"/>
      <c r="H94" s="366" t="s">
        <v>37</v>
      </c>
      <c r="I94" s="365"/>
      <c r="J94" s="365"/>
      <c r="K94" s="365"/>
      <c r="L94" s="78">
        <v>5.3</v>
      </c>
      <c r="M94" s="78">
        <v>2.6</v>
      </c>
      <c r="N94" s="78"/>
      <c r="O94" s="46">
        <f t="shared" si="2"/>
        <v>13.78</v>
      </c>
    </row>
    <row r="95" spans="1:15" hidden="1" x14ac:dyDescent="0.2">
      <c r="A95" s="189"/>
      <c r="B95" s="369">
        <f>C90</f>
        <v>1523.23525</v>
      </c>
      <c r="C95" s="391" t="s">
        <v>14</v>
      </c>
      <c r="D95" s="199">
        <v>10</v>
      </c>
      <c r="E95" s="373" t="s">
        <v>14</v>
      </c>
      <c r="F95" s="373">
        <v>1.25</v>
      </c>
      <c r="G95" s="366" t="s">
        <v>40</v>
      </c>
      <c r="H95" s="199">
        <f>ROUND((B95*D95*F95),2)</f>
        <v>19040.439999999999</v>
      </c>
      <c r="I95" s="365"/>
      <c r="J95" s="365"/>
      <c r="K95" s="365"/>
      <c r="L95" s="78">
        <v>5.3</v>
      </c>
      <c r="M95" s="78">
        <v>2.6</v>
      </c>
      <c r="N95" s="78"/>
      <c r="O95" s="46">
        <f t="shared" si="2"/>
        <v>13.78</v>
      </c>
    </row>
    <row r="96" spans="1:15" hidden="1" x14ac:dyDescent="0.2">
      <c r="A96" s="189"/>
      <c r="B96" s="365"/>
      <c r="C96" s="365"/>
      <c r="D96" s="365"/>
      <c r="E96" s="403"/>
      <c r="F96" s="365"/>
      <c r="G96" s="365"/>
      <c r="H96" s="403"/>
      <c r="I96" s="365"/>
      <c r="J96" s="365"/>
      <c r="K96" s="365"/>
      <c r="L96" s="78">
        <v>5.3</v>
      </c>
      <c r="M96" s="78">
        <v>2.6</v>
      </c>
      <c r="N96" s="78"/>
      <c r="O96" s="46">
        <f t="shared" si="2"/>
        <v>13.78</v>
      </c>
    </row>
    <row r="97" spans="1:15" hidden="1" x14ac:dyDescent="0.2">
      <c r="A97" s="189"/>
      <c r="B97" s="91" t="s">
        <v>138</v>
      </c>
      <c r="C97" s="372">
        <f>H95</f>
        <v>19040.439999999999</v>
      </c>
      <c r="D97" s="92" t="s">
        <v>37</v>
      </c>
      <c r="E97" s="404"/>
      <c r="F97" s="368"/>
      <c r="G97" s="368"/>
      <c r="H97" s="404"/>
      <c r="I97" s="368"/>
      <c r="J97" s="368"/>
      <c r="K97" s="368"/>
      <c r="L97" s="78">
        <v>5.3</v>
      </c>
      <c r="M97" s="78">
        <v>2.6</v>
      </c>
      <c r="N97" s="78"/>
      <c r="O97" s="46">
        <f t="shared" si="2"/>
        <v>13.78</v>
      </c>
    </row>
    <row r="98" spans="1:15" hidden="1" x14ac:dyDescent="0.2">
      <c r="A98" s="189"/>
      <c r="B98" s="189"/>
      <c r="C98" s="189"/>
      <c r="D98" s="189"/>
      <c r="E98" s="189"/>
      <c r="F98" s="368"/>
      <c r="G98" s="368"/>
      <c r="H98" s="404"/>
      <c r="I98" s="368"/>
      <c r="J98" s="368"/>
      <c r="K98" s="368"/>
      <c r="L98" s="78">
        <v>5.3</v>
      </c>
      <c r="M98" s="78">
        <v>1.6</v>
      </c>
      <c r="N98" s="78"/>
      <c r="O98" s="46">
        <f t="shared" si="2"/>
        <v>8.48</v>
      </c>
    </row>
    <row r="99" spans="1:15" ht="28.5" hidden="1" customHeight="1" x14ac:dyDescent="0.2">
      <c r="A99" s="189" t="e">
        <f>'ORÇAMENTO DESONERADO'!#REF!</f>
        <v>#REF!</v>
      </c>
      <c r="B99" s="575" t="e">
        <f>'ORÇAMENTO DESONERADO'!#REF!</f>
        <v>#REF!</v>
      </c>
      <c r="C99" s="575"/>
      <c r="D99" s="575"/>
      <c r="E99" s="575"/>
      <c r="F99" s="575"/>
      <c r="G99" s="575"/>
      <c r="H99" s="575"/>
      <c r="I99" s="575"/>
      <c r="J99" s="575"/>
      <c r="K99" s="575"/>
      <c r="L99" s="78"/>
      <c r="M99" s="78"/>
      <c r="N99" s="78"/>
      <c r="O99" s="79">
        <f>SUM(O82:O98)</f>
        <v>211.39319999999998</v>
      </c>
    </row>
    <row r="100" spans="1:15" hidden="1" x14ac:dyDescent="0.2">
      <c r="A100" s="189"/>
      <c r="B100" s="365"/>
      <c r="C100" s="365"/>
      <c r="D100" s="365"/>
      <c r="E100" s="403"/>
      <c r="F100" s="365"/>
      <c r="G100" s="365"/>
      <c r="H100" s="403"/>
      <c r="I100" s="365"/>
      <c r="J100" s="365"/>
      <c r="K100" s="365"/>
      <c r="L100" s="78"/>
      <c r="M100" s="78"/>
      <c r="N100" s="78"/>
      <c r="O100" s="79"/>
    </row>
    <row r="101" spans="1:15" hidden="1" x14ac:dyDescent="0.2">
      <c r="A101" s="189"/>
      <c r="B101" s="460" t="s">
        <v>195</v>
      </c>
      <c r="C101" s="379" t="s">
        <v>189</v>
      </c>
      <c r="D101" s="371" t="s">
        <v>84</v>
      </c>
      <c r="E101" s="380" t="s">
        <v>190</v>
      </c>
      <c r="F101" s="370" t="s">
        <v>200</v>
      </c>
      <c r="G101" s="371" t="s">
        <v>191</v>
      </c>
      <c r="H101" s="403"/>
      <c r="I101" s="365"/>
      <c r="J101" s="365"/>
      <c r="K101" s="365"/>
      <c r="L101" s="78"/>
      <c r="M101" s="78"/>
      <c r="N101" s="78"/>
      <c r="O101" s="79"/>
    </row>
    <row r="102" spans="1:15" hidden="1" x14ac:dyDescent="0.2">
      <c r="A102" s="189"/>
      <c r="B102" s="381">
        <f>C72</f>
        <v>800</v>
      </c>
      <c r="C102" s="382">
        <f>D72</f>
        <v>401</v>
      </c>
      <c r="D102" s="383">
        <f>C81</f>
        <v>1.8</v>
      </c>
      <c r="E102" s="384">
        <f>D81</f>
        <v>2</v>
      </c>
      <c r="F102" s="469">
        <f>E81</f>
        <v>0.98</v>
      </c>
      <c r="G102" s="383">
        <f>((D102*E102)-F102)*C102</f>
        <v>1050.6200000000001</v>
      </c>
      <c r="H102" s="403"/>
      <c r="I102" s="365"/>
      <c r="J102" s="365"/>
      <c r="K102" s="365"/>
      <c r="L102" s="78"/>
      <c r="M102" s="78"/>
      <c r="N102" s="78"/>
      <c r="O102" s="79"/>
    </row>
    <row r="103" spans="1:15" hidden="1" x14ac:dyDescent="0.2">
      <c r="A103" s="189"/>
      <c r="B103" s="381">
        <f t="shared" ref="B103:C103" si="3">C73</f>
        <v>600</v>
      </c>
      <c r="C103" s="382">
        <f t="shared" si="3"/>
        <v>475</v>
      </c>
      <c r="D103" s="462">
        <f t="shared" ref="D103:F104" si="4">C82</f>
        <v>1.6</v>
      </c>
      <c r="E103" s="384">
        <f t="shared" si="4"/>
        <v>1.5</v>
      </c>
      <c r="F103" s="469">
        <f t="shared" si="4"/>
        <v>0.74870000000000003</v>
      </c>
      <c r="G103" s="462">
        <f t="shared" ref="G103:G104" si="5">((D103*E103)-F103)*C103</f>
        <v>784.36750000000018</v>
      </c>
      <c r="H103" s="403"/>
      <c r="I103" s="458"/>
      <c r="J103" s="458"/>
      <c r="K103" s="458"/>
      <c r="L103" s="78"/>
      <c r="M103" s="78"/>
      <c r="N103" s="78"/>
      <c r="O103" s="79"/>
    </row>
    <row r="104" spans="1:15" hidden="1" x14ac:dyDescent="0.2">
      <c r="A104" s="189"/>
      <c r="B104" s="381">
        <f t="shared" ref="B104:C104" si="6">C74</f>
        <v>400</v>
      </c>
      <c r="C104" s="382">
        <f t="shared" si="6"/>
        <v>216</v>
      </c>
      <c r="D104" s="462">
        <f t="shared" si="4"/>
        <v>1</v>
      </c>
      <c r="E104" s="384">
        <f t="shared" si="4"/>
        <v>1.1499999999999999</v>
      </c>
      <c r="F104" s="469">
        <f t="shared" si="4"/>
        <v>0.48</v>
      </c>
      <c r="G104" s="462">
        <f t="shared" si="5"/>
        <v>144.71999999999997</v>
      </c>
      <c r="H104" s="403"/>
      <c r="I104" s="458"/>
      <c r="J104" s="458"/>
      <c r="K104" s="458"/>
      <c r="L104" s="78"/>
      <c r="M104" s="78"/>
      <c r="N104" s="78"/>
      <c r="O104" s="79"/>
    </row>
    <row r="105" spans="1:15" hidden="1" x14ac:dyDescent="0.2">
      <c r="A105" s="189"/>
      <c r="D105" s="365"/>
      <c r="E105" s="395"/>
      <c r="F105" s="376"/>
      <c r="G105" s="78"/>
      <c r="H105" s="403"/>
      <c r="I105" s="365"/>
      <c r="J105" s="365"/>
      <c r="K105" s="365"/>
      <c r="L105" s="78"/>
      <c r="M105" s="78"/>
      <c r="N105" s="78"/>
      <c r="O105" s="79"/>
    </row>
    <row r="106" spans="1:15" hidden="1" x14ac:dyDescent="0.2">
      <c r="A106" s="189"/>
      <c r="B106" s="91" t="s">
        <v>138</v>
      </c>
      <c r="C106" s="372">
        <f>SUM(G102:G104)</f>
        <v>1979.7075000000002</v>
      </c>
      <c r="D106" s="92" t="s">
        <v>36</v>
      </c>
      <c r="E106" s="189"/>
      <c r="F106" s="609"/>
      <c r="G106" s="609"/>
      <c r="H106" s="403"/>
      <c r="I106" s="365"/>
      <c r="J106" s="365"/>
      <c r="K106" s="365"/>
      <c r="L106" s="78"/>
      <c r="M106" s="78"/>
      <c r="N106" s="78"/>
      <c r="O106" s="79"/>
    </row>
    <row r="107" spans="1:15" hidden="1" x14ac:dyDescent="0.2">
      <c r="A107" s="189"/>
      <c r="B107" s="189"/>
      <c r="C107" s="189"/>
      <c r="D107" s="189"/>
      <c r="E107" s="189"/>
      <c r="F107" s="365"/>
      <c r="G107" s="365"/>
      <c r="H107" s="403"/>
      <c r="I107" s="365"/>
      <c r="J107" s="365"/>
      <c r="K107" s="365"/>
      <c r="L107" s="78"/>
      <c r="M107" s="78"/>
      <c r="N107" s="78"/>
      <c r="O107" s="79"/>
    </row>
    <row r="108" spans="1:15" ht="27.75" hidden="1" customHeight="1" x14ac:dyDescent="0.2">
      <c r="A108" s="189" t="e">
        <f>'ORÇAMENTO DESONERADO'!#REF!</f>
        <v>#REF!</v>
      </c>
      <c r="B108" s="575" t="e">
        <f>'ORÇAMENTO DESONERADO'!#REF!</f>
        <v>#REF!</v>
      </c>
      <c r="C108" s="575"/>
      <c r="D108" s="575"/>
      <c r="E108" s="575"/>
      <c r="F108" s="575"/>
      <c r="G108" s="575"/>
      <c r="H108" s="575"/>
      <c r="I108" s="575"/>
      <c r="J108" s="575"/>
      <c r="K108" s="575"/>
      <c r="L108" s="78"/>
      <c r="M108" s="78"/>
      <c r="N108" s="78"/>
      <c r="O108" s="79"/>
    </row>
    <row r="109" spans="1:15" hidden="1" x14ac:dyDescent="0.2">
      <c r="A109" s="46"/>
      <c r="B109" s="46"/>
      <c r="C109" s="46"/>
      <c r="D109" s="46"/>
      <c r="E109" s="376"/>
      <c r="F109" s="46"/>
      <c r="G109" s="46"/>
      <c r="H109" s="377"/>
      <c r="I109" s="46"/>
      <c r="J109" s="46"/>
      <c r="K109" s="46"/>
      <c r="L109" s="78"/>
      <c r="M109" s="78"/>
      <c r="N109" s="78"/>
      <c r="O109" s="79"/>
    </row>
    <row r="110" spans="1:15" hidden="1" x14ac:dyDescent="0.2">
      <c r="A110" s="189"/>
      <c r="B110" s="371" t="s">
        <v>30</v>
      </c>
      <c r="C110" s="403"/>
      <c r="D110" s="365"/>
      <c r="E110" s="365"/>
      <c r="F110" s="365"/>
      <c r="G110" s="78"/>
      <c r="H110" s="78"/>
      <c r="I110" s="78"/>
      <c r="J110" s="79"/>
      <c r="K110" s="46"/>
    </row>
    <row r="111" spans="1:15" hidden="1" x14ac:dyDescent="0.2">
      <c r="A111" s="189"/>
      <c r="B111" s="383">
        <v>17</v>
      </c>
      <c r="C111" s="403"/>
      <c r="D111" s="365"/>
      <c r="E111" s="365"/>
      <c r="F111" s="365"/>
      <c r="G111" s="78"/>
      <c r="H111" s="78"/>
      <c r="I111" s="78"/>
      <c r="J111" s="79"/>
      <c r="K111" s="46"/>
    </row>
    <row r="112" spans="1:15" hidden="1" x14ac:dyDescent="0.2">
      <c r="A112" s="189"/>
      <c r="B112" s="189"/>
      <c r="C112" s="189"/>
      <c r="D112" s="189"/>
      <c r="E112" s="189"/>
      <c r="F112" s="365"/>
      <c r="G112" s="365"/>
      <c r="H112" s="403"/>
      <c r="I112" s="365"/>
      <c r="J112" s="365"/>
      <c r="K112" s="365"/>
      <c r="L112" s="78"/>
      <c r="M112" s="78"/>
      <c r="N112" s="78"/>
      <c r="O112" s="79"/>
    </row>
    <row r="113" spans="1:15" hidden="1" x14ac:dyDescent="0.2">
      <c r="A113" s="189"/>
      <c r="B113" s="91" t="s">
        <v>138</v>
      </c>
      <c r="C113" s="372">
        <f>B111</f>
        <v>17</v>
      </c>
      <c r="D113" s="92" t="s">
        <v>35</v>
      </c>
      <c r="E113" s="189"/>
      <c r="F113" s="365"/>
      <c r="G113" s="365"/>
      <c r="H113" s="403"/>
      <c r="I113" s="365"/>
      <c r="J113" s="365"/>
      <c r="K113" s="365"/>
      <c r="L113" s="78"/>
      <c r="M113" s="78"/>
      <c r="N113" s="78"/>
      <c r="O113" s="79"/>
    </row>
    <row r="114" spans="1:15" hidden="1" x14ac:dyDescent="0.2">
      <c r="A114" s="189"/>
      <c r="B114" s="189"/>
      <c r="C114" s="189"/>
      <c r="D114" s="189"/>
      <c r="E114" s="189"/>
      <c r="F114" s="365"/>
      <c r="G114" s="365"/>
      <c r="H114" s="403"/>
      <c r="I114" s="365"/>
      <c r="J114" s="365"/>
      <c r="K114" s="365"/>
      <c r="L114" s="78"/>
      <c r="M114" s="78"/>
      <c r="N114" s="78"/>
      <c r="O114" s="79"/>
    </row>
    <row r="115" spans="1:15" hidden="1" x14ac:dyDescent="0.2">
      <c r="A115" s="337" t="s">
        <v>201</v>
      </c>
      <c r="B115" s="189"/>
      <c r="C115" s="189"/>
      <c r="D115" s="189"/>
      <c r="E115" s="189"/>
      <c r="F115" s="365"/>
      <c r="G115" s="365"/>
      <c r="H115" s="403"/>
      <c r="I115" s="365"/>
      <c r="J115" s="365"/>
      <c r="K115" s="365"/>
      <c r="L115" s="78"/>
      <c r="M115" s="78"/>
      <c r="N115" s="78"/>
      <c r="O115" s="79"/>
    </row>
    <row r="116" spans="1:15" hidden="1" x14ac:dyDescent="0.2">
      <c r="A116" s="189"/>
      <c r="B116" s="189"/>
      <c r="C116" s="189"/>
      <c r="D116" s="189"/>
      <c r="E116" s="189"/>
      <c r="F116" s="365"/>
      <c r="G116" s="365"/>
      <c r="H116" s="403"/>
      <c r="I116" s="365"/>
      <c r="J116" s="365"/>
      <c r="K116" s="365"/>
      <c r="L116" s="78"/>
      <c r="M116" s="78"/>
      <c r="N116" s="78"/>
      <c r="O116" s="79"/>
    </row>
    <row r="117" spans="1:15" hidden="1" x14ac:dyDescent="0.2">
      <c r="A117" s="189" t="e">
        <f>'ORÇAMENTO DESONERADO'!#REF!</f>
        <v>#REF!</v>
      </c>
      <c r="B117" s="575" t="e">
        <f>'ORÇAMENTO DESONERADO'!#REF!</f>
        <v>#REF!</v>
      </c>
      <c r="C117" s="575"/>
      <c r="D117" s="575"/>
      <c r="E117" s="575"/>
      <c r="F117" s="575"/>
      <c r="G117" s="575"/>
      <c r="H117" s="575"/>
      <c r="I117" s="575"/>
      <c r="J117" s="575"/>
      <c r="K117" s="575"/>
      <c r="L117" s="78"/>
      <c r="M117" s="78"/>
      <c r="N117" s="78"/>
      <c r="O117" s="79"/>
    </row>
    <row r="118" spans="1:15" hidden="1" x14ac:dyDescent="0.2">
      <c r="A118" s="189"/>
      <c r="B118" s="189"/>
      <c r="C118" s="189"/>
      <c r="D118" s="189"/>
      <c r="E118" s="189"/>
      <c r="F118" s="365"/>
      <c r="G118" s="365"/>
      <c r="H118" s="403"/>
      <c r="I118" s="365"/>
      <c r="J118" s="365"/>
      <c r="K118" s="365"/>
      <c r="L118" s="78"/>
      <c r="M118" s="78"/>
      <c r="N118" s="78"/>
      <c r="O118" s="79"/>
    </row>
    <row r="119" spans="1:15" hidden="1" x14ac:dyDescent="0.2">
      <c r="A119" s="189"/>
      <c r="B119" s="371" t="s">
        <v>30</v>
      </c>
      <c r="C119" s="403"/>
      <c r="D119" s="365"/>
      <c r="E119" s="365"/>
      <c r="F119" s="365"/>
      <c r="G119" s="78"/>
      <c r="H119" s="78"/>
      <c r="I119" s="78"/>
      <c r="J119" s="79"/>
      <c r="K119" s="46"/>
    </row>
    <row r="120" spans="1:15" hidden="1" x14ac:dyDescent="0.2">
      <c r="A120" s="189"/>
      <c r="B120" s="383">
        <v>36</v>
      </c>
      <c r="C120" s="403"/>
      <c r="D120" s="365"/>
      <c r="E120" s="365"/>
      <c r="F120" s="365"/>
      <c r="G120" s="78"/>
      <c r="H120" s="78"/>
      <c r="I120" s="78"/>
      <c r="J120" s="79"/>
      <c r="K120" s="46"/>
    </row>
    <row r="121" spans="1:15" hidden="1" x14ac:dyDescent="0.2">
      <c r="A121" s="189"/>
      <c r="B121" s="189"/>
      <c r="C121" s="189"/>
      <c r="D121" s="189"/>
      <c r="E121" s="189"/>
      <c r="F121" s="365"/>
      <c r="G121" s="365"/>
      <c r="H121" s="403"/>
      <c r="I121" s="365"/>
      <c r="J121" s="365"/>
      <c r="K121" s="365"/>
      <c r="L121" s="78"/>
      <c r="M121" s="78"/>
      <c r="N121" s="78"/>
      <c r="O121" s="79"/>
    </row>
    <row r="122" spans="1:15" hidden="1" x14ac:dyDescent="0.2">
      <c r="A122" s="189"/>
      <c r="B122" s="91" t="s">
        <v>138</v>
      </c>
      <c r="C122" s="372">
        <f>B120</f>
        <v>36</v>
      </c>
      <c r="D122" s="92" t="s">
        <v>35</v>
      </c>
      <c r="E122" s="189"/>
      <c r="F122" s="365"/>
      <c r="G122" s="365"/>
      <c r="H122" s="403"/>
      <c r="I122" s="365"/>
      <c r="J122" s="365"/>
      <c r="K122" s="365"/>
      <c r="L122" s="78"/>
      <c r="M122" s="78"/>
      <c r="N122" s="78"/>
      <c r="O122" s="79"/>
    </row>
    <row r="123" spans="1:15" hidden="1" x14ac:dyDescent="0.2">
      <c r="A123" s="189"/>
      <c r="B123" s="189"/>
      <c r="C123" s="189"/>
      <c r="D123" s="189"/>
      <c r="E123" s="189"/>
      <c r="F123" s="365"/>
      <c r="G123" s="365"/>
      <c r="H123" s="403"/>
      <c r="I123" s="365"/>
      <c r="J123" s="365"/>
      <c r="K123" s="365"/>
      <c r="L123" s="78"/>
      <c r="M123" s="78"/>
      <c r="N123" s="78"/>
      <c r="O123" s="79"/>
    </row>
    <row r="124" spans="1:15" hidden="1" x14ac:dyDescent="0.2">
      <c r="A124" s="337" t="s">
        <v>202</v>
      </c>
      <c r="B124" s="189"/>
      <c r="C124" s="189"/>
      <c r="D124" s="189"/>
      <c r="E124" s="189"/>
      <c r="F124" s="365"/>
      <c r="G124" s="365"/>
      <c r="H124" s="403"/>
      <c r="I124" s="365"/>
      <c r="J124" s="365"/>
      <c r="K124" s="365"/>
      <c r="L124" s="78"/>
      <c r="M124" s="78"/>
      <c r="N124" s="78"/>
      <c r="O124" s="79"/>
    </row>
    <row r="125" spans="1:15" ht="12.75" hidden="1" customHeight="1" x14ac:dyDescent="0.2">
      <c r="L125" s="78"/>
      <c r="M125" s="78"/>
      <c r="N125" s="78"/>
      <c r="O125" s="79"/>
    </row>
    <row r="126" spans="1:15" ht="13.9" customHeight="1" x14ac:dyDescent="0.2">
      <c r="A126" s="278">
        <f>'ORÇAMENTO DESONERADO'!B26</f>
        <v>4</v>
      </c>
      <c r="B126" s="589" t="str">
        <f>'ORÇAMENTO DESONERADO'!D26</f>
        <v>MOVIMENTAÇÃO DE TERRA</v>
      </c>
      <c r="C126" s="589"/>
      <c r="D126" s="589"/>
      <c r="E126" s="589"/>
      <c r="F126" s="589"/>
      <c r="G126" s="589"/>
      <c r="H126" s="589"/>
      <c r="I126" s="589"/>
      <c r="J126" s="589"/>
      <c r="K126" s="590"/>
      <c r="L126" s="78"/>
      <c r="M126" s="78"/>
      <c r="N126" s="78"/>
      <c r="O126" s="79"/>
    </row>
    <row r="127" spans="1:15" x14ac:dyDescent="0.2">
      <c r="A127" s="77"/>
      <c r="B127" s="601"/>
      <c r="C127" s="601"/>
      <c r="D127" s="601"/>
      <c r="E127" s="601"/>
      <c r="F127" s="601"/>
      <c r="G127" s="601"/>
      <c r="H127" s="601"/>
      <c r="I127" s="601"/>
      <c r="J127" s="601"/>
      <c r="K127" s="601"/>
      <c r="L127" s="78"/>
      <c r="M127" s="78"/>
      <c r="N127" s="78"/>
      <c r="O127" s="79"/>
    </row>
    <row r="128" spans="1:15" x14ac:dyDescent="0.2">
      <c r="A128" s="211" t="str">
        <f>'ORÇAMENTO DESONERADO'!B27</f>
        <v>4.1</v>
      </c>
      <c r="B128" s="596" t="str">
        <f>'ORÇAMENTO DESONERADO'!D27</f>
        <v>REGULARIZAÇÃO DE BASE</v>
      </c>
      <c r="C128" s="596"/>
      <c r="D128" s="596"/>
      <c r="E128" s="596"/>
      <c r="F128" s="596"/>
      <c r="G128" s="596"/>
      <c r="H128" s="596"/>
      <c r="I128" s="596"/>
      <c r="J128" s="596"/>
      <c r="K128" s="597"/>
      <c r="L128" s="78"/>
      <c r="M128" s="78"/>
      <c r="N128" s="78"/>
      <c r="O128" s="79"/>
    </row>
    <row r="129" spans="1:15" ht="26.25" customHeight="1" x14ac:dyDescent="0.2">
      <c r="A129" s="189" t="str">
        <f>'ORÇAMENTO DESONERADO'!B28</f>
        <v>4.1.1</v>
      </c>
      <c r="B129" s="575" t="str">
        <f>'ORÇAMENTO DESONERADO'!D28</f>
        <v>LIMPEZA MECANIZADA DE CAMADA VEGETAL, VEGETAÇÃO E PEQUENAS ÁRVORES (DIÂMETRO DE TRONCO MENOR QUE 0,20 M), COM TRATOR DE ESTEIRAS.AF_05/2018</v>
      </c>
      <c r="C129" s="575"/>
      <c r="D129" s="575"/>
      <c r="E129" s="575"/>
      <c r="F129" s="575"/>
      <c r="G129" s="575"/>
      <c r="H129" s="575"/>
      <c r="I129" s="575"/>
      <c r="J129" s="575"/>
      <c r="K129" s="575"/>
      <c r="L129" s="78"/>
      <c r="M129" s="78"/>
      <c r="N129" s="78"/>
      <c r="O129" s="79"/>
    </row>
    <row r="130" spans="1:15" x14ac:dyDescent="0.2">
      <c r="A130" s="77"/>
      <c r="B130" s="523" t="s">
        <v>2</v>
      </c>
      <c r="C130" s="523"/>
      <c r="D130" s="523"/>
      <c r="E130" s="619" t="s">
        <v>3</v>
      </c>
      <c r="F130" s="619"/>
      <c r="G130" s="619"/>
      <c r="H130" s="190" t="s">
        <v>4</v>
      </c>
      <c r="I130" s="620" t="s">
        <v>5</v>
      </c>
      <c r="J130" s="620"/>
      <c r="K130" s="330"/>
      <c r="L130" s="78"/>
      <c r="M130" s="78"/>
      <c r="N130" s="78"/>
      <c r="O130" s="79"/>
    </row>
    <row r="131" spans="1:15" x14ac:dyDescent="0.2">
      <c r="A131" s="77"/>
      <c r="B131" s="523"/>
      <c r="C131" s="523"/>
      <c r="D131" s="523"/>
      <c r="E131" s="619" t="s">
        <v>6</v>
      </c>
      <c r="F131" s="619"/>
      <c r="G131" s="164" t="s">
        <v>7</v>
      </c>
      <c r="H131" s="190" t="s">
        <v>6</v>
      </c>
      <c r="I131" s="620" t="s">
        <v>8</v>
      </c>
      <c r="J131" s="620"/>
      <c r="K131" s="330"/>
      <c r="L131" s="78"/>
      <c r="M131" s="78"/>
      <c r="N131" s="78"/>
      <c r="O131" s="79"/>
    </row>
    <row r="132" spans="1:15" x14ac:dyDescent="0.2">
      <c r="A132" s="77"/>
      <c r="B132" s="605" t="str">
        <f>'DADOS DA OBRA'!B11:D11</f>
        <v>TRAVESSA LUIZ EDUARDO MAGALHÃES</v>
      </c>
      <c r="C132" s="606"/>
      <c r="D132" s="606"/>
      <c r="E132" s="607">
        <f>'DADOS DA OBRA'!E11</f>
        <v>1400</v>
      </c>
      <c r="F132" s="608"/>
      <c r="G132" s="369">
        <f>E132/1000</f>
        <v>1.4</v>
      </c>
      <c r="H132" s="369">
        <f>'DADOS DA OBRA'!G11+1</f>
        <v>7</v>
      </c>
      <c r="I132" s="598">
        <f>ROUND(E132*H132,2)</f>
        <v>9800</v>
      </c>
      <c r="J132" s="598"/>
      <c r="K132" s="330"/>
      <c r="L132" s="78"/>
      <c r="M132" s="78"/>
      <c r="N132" s="78"/>
      <c r="O132" s="79"/>
    </row>
    <row r="133" spans="1:15" x14ac:dyDescent="0.2">
      <c r="A133" s="77"/>
      <c r="B133" s="605" t="str">
        <f>'DADOS DA OBRA'!B12:D12</f>
        <v>TRAVESSA ARTHUR BERNADEZ</v>
      </c>
      <c r="C133" s="606"/>
      <c r="D133" s="606"/>
      <c r="E133" s="607">
        <f>'DADOS DA OBRA'!E12</f>
        <v>600</v>
      </c>
      <c r="F133" s="608"/>
      <c r="G133" s="483">
        <f>E133/1000</f>
        <v>0.6</v>
      </c>
      <c r="H133" s="483">
        <f>'DADOS DA OBRA'!G12+1</f>
        <v>7</v>
      </c>
      <c r="I133" s="598">
        <f>ROUND(E133*H133,2)</f>
        <v>4200</v>
      </c>
      <c r="J133" s="598"/>
      <c r="K133" s="485"/>
      <c r="L133" s="78"/>
      <c r="M133" s="78"/>
      <c r="N133" s="78"/>
      <c r="O133" s="79"/>
    </row>
    <row r="134" spans="1:15" x14ac:dyDescent="0.2">
      <c r="A134" s="77"/>
      <c r="B134" s="330"/>
      <c r="C134" s="330"/>
      <c r="D134" s="330"/>
      <c r="E134" s="404"/>
      <c r="F134" s="330"/>
      <c r="G134" s="330"/>
      <c r="H134" s="404"/>
      <c r="I134" s="330"/>
      <c r="J134" s="330"/>
      <c r="K134" s="330"/>
      <c r="L134" s="78"/>
      <c r="M134" s="78"/>
      <c r="N134" s="78"/>
      <c r="O134" s="79"/>
    </row>
    <row r="135" spans="1:15" x14ac:dyDescent="0.2">
      <c r="A135" s="77"/>
      <c r="B135" s="91" t="s">
        <v>138</v>
      </c>
      <c r="C135" s="329">
        <f>SUM(I132:J133)</f>
        <v>14000</v>
      </c>
      <c r="D135" s="92" t="s">
        <v>34</v>
      </c>
      <c r="E135" s="404"/>
      <c r="F135" s="330"/>
      <c r="G135" s="330"/>
      <c r="H135" s="404"/>
      <c r="I135" s="330"/>
      <c r="J135" s="330"/>
      <c r="K135" s="330"/>
      <c r="L135" s="78"/>
      <c r="M135" s="78"/>
      <c r="N135" s="78"/>
      <c r="O135" s="79"/>
    </row>
    <row r="136" spans="1:15" x14ac:dyDescent="0.2">
      <c r="A136" s="77"/>
      <c r="B136" s="330"/>
      <c r="C136" s="330"/>
      <c r="D136" s="330"/>
      <c r="E136" s="404"/>
      <c r="F136" s="330"/>
      <c r="G136" s="330"/>
      <c r="H136" s="404"/>
      <c r="I136" s="330"/>
      <c r="J136" s="330"/>
      <c r="K136" s="330"/>
      <c r="L136" s="78"/>
      <c r="M136" s="78"/>
      <c r="N136" s="78"/>
      <c r="O136" s="79"/>
    </row>
    <row r="137" spans="1:15" x14ac:dyDescent="0.2">
      <c r="A137" s="337" t="s">
        <v>180</v>
      </c>
      <c r="B137" s="337"/>
      <c r="C137" s="337"/>
      <c r="D137" s="337"/>
      <c r="E137" s="85"/>
      <c r="F137" s="337"/>
      <c r="G137" s="337"/>
      <c r="H137" s="85"/>
      <c r="I137" s="337"/>
      <c r="J137" s="330"/>
      <c r="K137" s="330"/>
      <c r="L137" s="78"/>
      <c r="M137" s="78"/>
      <c r="N137" s="78"/>
      <c r="O137" s="79"/>
    </row>
    <row r="138" spans="1:15" x14ac:dyDescent="0.2">
      <c r="A138" s="337"/>
      <c r="B138" s="337"/>
      <c r="C138" s="337"/>
      <c r="D138" s="337"/>
      <c r="E138" s="85"/>
      <c r="F138" s="337"/>
      <c r="G138" s="337"/>
      <c r="H138" s="85"/>
      <c r="I138" s="337"/>
      <c r="J138" s="330"/>
      <c r="K138" s="330"/>
      <c r="L138" s="78"/>
      <c r="M138" s="78"/>
      <c r="N138" s="78"/>
      <c r="O138" s="79"/>
    </row>
    <row r="139" spans="1:15" ht="30" customHeight="1" x14ac:dyDescent="0.2">
      <c r="A139" s="189" t="str">
        <f>'ORÇAMENTO DESONERADO'!B29</f>
        <v>4.1.2</v>
      </c>
      <c r="B139" s="575" t="str">
        <f>'ORÇAMENTO DESONERADO'!D29</f>
        <v>REGULARIZAÇÃO E COMPACTAÇÃO DE SUBLEITO DE SOLO PREDOMINANTEMENTE ARENOSO. AF_11/2019</v>
      </c>
      <c r="C139" s="575"/>
      <c r="D139" s="575"/>
      <c r="E139" s="575"/>
      <c r="F139" s="575"/>
      <c r="G139" s="575"/>
      <c r="H139" s="575"/>
      <c r="I139" s="575"/>
      <c r="J139" s="575"/>
      <c r="K139" s="575"/>
      <c r="L139" s="78"/>
      <c r="M139" s="78"/>
      <c r="N139" s="78"/>
      <c r="O139" s="79"/>
    </row>
    <row r="140" spans="1:15" x14ac:dyDescent="0.2">
      <c r="A140" s="191"/>
      <c r="B140" s="192"/>
      <c r="C140" s="192"/>
      <c r="D140" s="192"/>
      <c r="E140" s="335"/>
      <c r="F140" s="335"/>
      <c r="G140" s="335"/>
      <c r="H140" s="335"/>
      <c r="I140" s="193"/>
      <c r="J140" s="194"/>
      <c r="K140" s="195"/>
      <c r="L140" s="78"/>
      <c r="M140" s="78"/>
      <c r="N140" s="78"/>
      <c r="O140" s="79"/>
    </row>
    <row r="141" spans="1:15" x14ac:dyDescent="0.2">
      <c r="A141" s="191"/>
      <c r="B141" s="579" t="s">
        <v>2</v>
      </c>
      <c r="C141" s="579"/>
      <c r="D141" s="579"/>
      <c r="E141" s="371" t="s">
        <v>42</v>
      </c>
      <c r="F141" s="332"/>
      <c r="G141" s="332" t="s">
        <v>41</v>
      </c>
      <c r="H141" s="371"/>
      <c r="I141" s="579" t="s">
        <v>374</v>
      </c>
      <c r="J141" s="579"/>
      <c r="K141" s="196"/>
      <c r="L141" s="78"/>
      <c r="M141" s="78">
        <f>'ORÇAMENTO DESONERADO'!I105</f>
        <v>1029695.0000000002</v>
      </c>
      <c r="N141" s="78"/>
      <c r="O141" s="79"/>
    </row>
    <row r="142" spans="1:15" x14ac:dyDescent="0.2">
      <c r="A142" s="193"/>
      <c r="B142" s="583" t="str">
        <f>B132</f>
        <v>TRAVESSA LUIZ EDUARDO MAGALHÃES</v>
      </c>
      <c r="C142" s="583"/>
      <c r="D142" s="583"/>
      <c r="E142" s="199">
        <f>'DADOS DA OBRA'!E11</f>
        <v>1400</v>
      </c>
      <c r="F142" s="332" t="s">
        <v>14</v>
      </c>
      <c r="G142" s="197">
        <f>'DADOS DA OBRA'!G11</f>
        <v>6</v>
      </c>
      <c r="H142" s="366" t="s">
        <v>40</v>
      </c>
      <c r="I142" s="598">
        <f>ROUND((E142*G142),2)</f>
        <v>8400</v>
      </c>
      <c r="J142" s="598"/>
      <c r="K142" s="196"/>
      <c r="L142" s="78"/>
      <c r="M142" s="78"/>
      <c r="N142" s="78"/>
      <c r="O142" s="79"/>
    </row>
    <row r="143" spans="1:15" x14ac:dyDescent="0.2">
      <c r="A143" s="193"/>
      <c r="B143" s="583" t="str">
        <f>B133</f>
        <v>TRAVESSA ARTHUR BERNADEZ</v>
      </c>
      <c r="C143" s="583"/>
      <c r="D143" s="583"/>
      <c r="E143" s="199">
        <f>'DADOS DA OBRA'!E12</f>
        <v>600</v>
      </c>
      <c r="F143" s="486" t="s">
        <v>14</v>
      </c>
      <c r="G143" s="426">
        <f>'DADOS DA OBRA'!G12</f>
        <v>6</v>
      </c>
      <c r="H143" s="481" t="s">
        <v>40</v>
      </c>
      <c r="I143" s="598">
        <f>ROUND((E143*G143),2)</f>
        <v>3600</v>
      </c>
      <c r="J143" s="598"/>
      <c r="K143" s="196"/>
      <c r="L143" s="78"/>
      <c r="M143" s="78"/>
      <c r="N143" s="78"/>
      <c r="O143" s="79"/>
    </row>
    <row r="144" spans="1:15" x14ac:dyDescent="0.2">
      <c r="A144" s="193"/>
      <c r="B144" s="401"/>
      <c r="C144" s="401"/>
      <c r="D144" s="401"/>
      <c r="E144" s="405"/>
      <c r="F144" s="374"/>
      <c r="G144" s="402"/>
      <c r="H144" s="396"/>
      <c r="I144" s="375"/>
      <c r="J144" s="375"/>
      <c r="K144" s="196"/>
      <c r="L144" s="78"/>
      <c r="M144" s="78"/>
      <c r="N144" s="78"/>
      <c r="O144" s="79"/>
    </row>
    <row r="145" spans="1:26" x14ac:dyDescent="0.2">
      <c r="A145" s="77"/>
      <c r="B145" s="91" t="s">
        <v>138</v>
      </c>
      <c r="C145" s="329">
        <f>SUM(I142:J143)</f>
        <v>12000</v>
      </c>
      <c r="D145" s="92" t="s">
        <v>36</v>
      </c>
      <c r="E145" s="404"/>
      <c r="F145" s="330"/>
      <c r="G145" s="330"/>
      <c r="H145" s="404"/>
      <c r="I145" s="330"/>
      <c r="J145" s="330"/>
      <c r="K145" s="330"/>
      <c r="L145" s="78"/>
      <c r="M145" s="78"/>
      <c r="N145" s="78"/>
      <c r="O145" s="79"/>
    </row>
    <row r="146" spans="1:26" x14ac:dyDescent="0.2">
      <c r="A146" s="77"/>
      <c r="B146" s="330"/>
      <c r="C146" s="330"/>
      <c r="D146" s="330"/>
      <c r="E146" s="404"/>
      <c r="F146" s="330"/>
      <c r="G146" s="330"/>
      <c r="H146" s="404"/>
      <c r="I146" s="330"/>
      <c r="J146" s="330"/>
      <c r="K146" s="330"/>
      <c r="L146" s="78"/>
      <c r="M146" s="78"/>
      <c r="N146" s="78"/>
      <c r="O146" s="79"/>
    </row>
    <row r="147" spans="1:26" ht="19.5" customHeight="1" x14ac:dyDescent="0.2">
      <c r="A147" s="189" t="str">
        <f>'ORÇAMENTO DESONERADO'!B30</f>
        <v>4.1.3</v>
      </c>
      <c r="B147" s="575" t="str">
        <f>'ORÇAMENTO DESONERADO'!D30</f>
        <v>ESCAVAÇÃO HORIZONTAL, INCLUINDO CARGA E DESCARGA EM SOLO DE 1A CATEGORIA COM TRATOR DE ESTEIRAS (100HP/LÂMINA: 2,19M3). AF_07/2020</v>
      </c>
      <c r="C147" s="575"/>
      <c r="D147" s="575"/>
      <c r="E147" s="575"/>
      <c r="F147" s="575"/>
      <c r="G147" s="575"/>
      <c r="H147" s="575"/>
      <c r="I147" s="575"/>
      <c r="J147" s="575"/>
      <c r="K147" s="575"/>
      <c r="L147" s="78"/>
      <c r="M147" s="78"/>
      <c r="N147" s="78"/>
      <c r="O147" s="79"/>
    </row>
    <row r="148" spans="1:26" x14ac:dyDescent="0.2">
      <c r="A148" s="191"/>
      <c r="B148" s="198"/>
      <c r="C148" s="198"/>
      <c r="D148" s="193"/>
      <c r="E148" s="198"/>
      <c r="F148" s="198"/>
      <c r="G148" s="193"/>
      <c r="H148" s="198"/>
      <c r="I148" s="193"/>
      <c r="J148" s="198"/>
      <c r="K148" s="196"/>
      <c r="L148" s="78"/>
      <c r="M148" s="78"/>
      <c r="N148" s="78"/>
      <c r="O148" s="79"/>
    </row>
    <row r="149" spans="1:26" ht="15" customHeight="1" x14ac:dyDescent="0.2">
      <c r="B149" s="614" t="s">
        <v>2</v>
      </c>
      <c r="C149" s="614"/>
      <c r="D149" s="486" t="s">
        <v>5</v>
      </c>
      <c r="E149" s="84"/>
      <c r="F149" s="84" t="s">
        <v>61</v>
      </c>
      <c r="G149" s="84"/>
      <c r="H149" s="84" t="s">
        <v>45</v>
      </c>
      <c r="L149" s="78"/>
      <c r="M149" s="78"/>
      <c r="N149" s="78"/>
      <c r="O149" s="79"/>
    </row>
    <row r="150" spans="1:26" ht="15" customHeight="1" x14ac:dyDescent="0.2">
      <c r="B150" s="615" t="str">
        <f>B132</f>
        <v>TRAVESSA LUIZ EDUARDO MAGALHÃES</v>
      </c>
      <c r="C150" s="615"/>
      <c r="D150" s="327">
        <f>I142</f>
        <v>8400</v>
      </c>
      <c r="E150" s="84" t="s">
        <v>14</v>
      </c>
      <c r="F150" s="363">
        <v>0.5</v>
      </c>
      <c r="G150" s="84" t="s">
        <v>40</v>
      </c>
      <c r="H150" s="199">
        <f>ROUND(D150*F150,2)</f>
        <v>4200</v>
      </c>
      <c r="L150" s="78"/>
      <c r="M150" s="78"/>
      <c r="N150" s="78"/>
      <c r="O150" s="79"/>
    </row>
    <row r="151" spans="1:26" ht="15" customHeight="1" x14ac:dyDescent="0.2">
      <c r="B151" s="615" t="str">
        <f>B133</f>
        <v>TRAVESSA ARTHUR BERNADEZ</v>
      </c>
      <c r="C151" s="615"/>
      <c r="D151" s="482">
        <f>I143</f>
        <v>3600</v>
      </c>
      <c r="E151" s="84" t="s">
        <v>14</v>
      </c>
      <c r="F151" s="482">
        <v>0.5</v>
      </c>
      <c r="G151" s="84" t="s">
        <v>40</v>
      </c>
      <c r="H151" s="199">
        <f>ROUND(D151*F151,2)</f>
        <v>1800</v>
      </c>
      <c r="L151" s="78"/>
      <c r="M151" s="78"/>
      <c r="N151" s="78"/>
      <c r="O151" s="79"/>
    </row>
    <row r="152" spans="1:26" x14ac:dyDescent="0.2">
      <c r="A152" s="77"/>
      <c r="B152" s="330"/>
      <c r="C152" s="330"/>
      <c r="D152" s="330"/>
      <c r="E152" s="404"/>
      <c r="F152" s="330"/>
      <c r="G152" s="330"/>
      <c r="H152" s="404"/>
      <c r="I152" s="330"/>
      <c r="J152" s="330"/>
      <c r="K152" s="330"/>
      <c r="L152" s="306"/>
      <c r="M152" s="306"/>
      <c r="N152" s="306"/>
      <c r="O152" s="306"/>
    </row>
    <row r="153" spans="1:26" x14ac:dyDescent="0.2">
      <c r="A153" s="77"/>
      <c r="B153" s="91" t="s">
        <v>138</v>
      </c>
      <c r="C153" s="329">
        <f>SUM(H150:H151)</f>
        <v>6000</v>
      </c>
      <c r="D153" s="92" t="s">
        <v>36</v>
      </c>
      <c r="E153" s="404"/>
      <c r="F153" s="330"/>
      <c r="G153" s="330"/>
      <c r="H153" s="404"/>
      <c r="I153" s="330"/>
      <c r="J153" s="330"/>
      <c r="K153" s="330"/>
      <c r="L153" s="306"/>
      <c r="M153" s="306"/>
      <c r="N153" s="306"/>
      <c r="O153" s="306"/>
    </row>
    <row r="154" spans="1:26" x14ac:dyDescent="0.2">
      <c r="A154" s="77"/>
      <c r="B154" s="330"/>
      <c r="C154" s="330"/>
      <c r="D154" s="330"/>
      <c r="E154" s="404"/>
      <c r="F154" s="330"/>
      <c r="G154" s="330"/>
      <c r="H154" s="404"/>
      <c r="I154" s="330"/>
      <c r="J154" s="330"/>
      <c r="K154" s="330"/>
      <c r="L154" s="306"/>
      <c r="M154" s="306"/>
      <c r="N154" s="306"/>
      <c r="O154" s="306"/>
    </row>
    <row r="155" spans="1:26" ht="29.25" customHeight="1" x14ac:dyDescent="0.2">
      <c r="A155" s="80" t="str">
        <f>'ORÇAMENTO DESONERADO'!B31</f>
        <v>4.1.4</v>
      </c>
      <c r="B155" s="601" t="str">
        <f>'ORÇAMENTO DESONERADO'!D31</f>
        <v>TRANSPORTE COM CAMINHÃO BASCULANTE DE 6 M³, EM VIA URBANA EM LEITO NATURAL (UNIDADE: M3XKM). AF_07/2020</v>
      </c>
      <c r="C155" s="601"/>
      <c r="D155" s="601"/>
      <c r="E155" s="601"/>
      <c r="F155" s="601"/>
      <c r="G155" s="601"/>
      <c r="H155" s="601"/>
      <c r="I155" s="601"/>
      <c r="J155" s="601"/>
      <c r="K155" s="601"/>
      <c r="L155" s="306"/>
      <c r="M155" s="306"/>
      <c r="N155" s="306"/>
      <c r="O155" s="306"/>
    </row>
    <row r="156" spans="1:26" x14ac:dyDescent="0.2">
      <c r="A156" s="81"/>
      <c r="B156" s="81"/>
      <c r="C156" s="77"/>
      <c r="D156" s="77"/>
      <c r="E156" s="77"/>
      <c r="F156" s="77"/>
      <c r="G156" s="77"/>
      <c r="H156" s="77"/>
      <c r="I156" s="77"/>
      <c r="J156" s="124"/>
      <c r="K156" s="306"/>
      <c r="L156" s="304"/>
      <c r="M156" s="304"/>
      <c r="N156" s="304"/>
      <c r="O156" s="304"/>
    </row>
    <row r="157" spans="1:26" x14ac:dyDescent="0.2">
      <c r="A157" s="191"/>
      <c r="B157" s="579" t="s">
        <v>2</v>
      </c>
      <c r="C157" s="579"/>
      <c r="D157" s="579"/>
      <c r="E157" s="371" t="s">
        <v>45</v>
      </c>
      <c r="F157" s="390"/>
      <c r="G157" s="332" t="s">
        <v>117</v>
      </c>
      <c r="H157" s="366"/>
      <c r="I157" s="168" t="s">
        <v>46</v>
      </c>
      <c r="J157" s="332"/>
      <c r="K157" s="328" t="s">
        <v>37</v>
      </c>
      <c r="M157" s="304"/>
      <c r="N157" s="304"/>
      <c r="O157" s="82"/>
      <c r="P157" s="599"/>
      <c r="Q157" s="600"/>
      <c r="R157" s="600"/>
      <c r="S157" s="600"/>
      <c r="T157" s="600"/>
      <c r="U157" s="600"/>
      <c r="V157" s="600"/>
      <c r="W157" s="600"/>
      <c r="X157" s="600"/>
      <c r="Y157" s="600"/>
      <c r="Z157" s="304"/>
    </row>
    <row r="158" spans="1:26" x14ac:dyDescent="0.2">
      <c r="A158" s="191"/>
      <c r="B158" s="602" t="str">
        <f>B142</f>
        <v>TRAVESSA LUIZ EDUARDO MAGALHÃES</v>
      </c>
      <c r="C158" s="603"/>
      <c r="D158" s="604"/>
      <c r="E158" s="369">
        <f>H150</f>
        <v>4200</v>
      </c>
      <c r="F158" s="391" t="s">
        <v>14</v>
      </c>
      <c r="G158" s="199">
        <v>10</v>
      </c>
      <c r="H158" s="366" t="s">
        <v>14</v>
      </c>
      <c r="I158" s="168">
        <v>1.25</v>
      </c>
      <c r="J158" s="328" t="s">
        <v>40</v>
      </c>
      <c r="K158" s="199">
        <f>ROUND((E158*G158*I158),2)</f>
        <v>52500</v>
      </c>
      <c r="M158" s="305"/>
      <c r="N158" s="305"/>
      <c r="O158" s="81"/>
      <c r="P158" s="81"/>
      <c r="Q158" s="77"/>
      <c r="R158" s="77"/>
      <c r="S158" s="77"/>
      <c r="T158" s="77"/>
      <c r="U158" s="77"/>
      <c r="V158" s="77"/>
      <c r="W158" s="77"/>
      <c r="X158" s="124"/>
      <c r="Y158" s="83"/>
      <c r="Z158" s="305"/>
    </row>
    <row r="159" spans="1:26" x14ac:dyDescent="0.2">
      <c r="A159" s="191"/>
      <c r="B159" s="602" t="str">
        <f>B143</f>
        <v>TRAVESSA ARTHUR BERNADEZ</v>
      </c>
      <c r="C159" s="603"/>
      <c r="D159" s="604"/>
      <c r="E159" s="483">
        <f>H151</f>
        <v>1800</v>
      </c>
      <c r="F159" s="391" t="s">
        <v>14</v>
      </c>
      <c r="G159" s="199">
        <v>10</v>
      </c>
      <c r="H159" s="481" t="s">
        <v>14</v>
      </c>
      <c r="I159" s="487">
        <v>1.25</v>
      </c>
      <c r="J159" s="481" t="s">
        <v>40</v>
      </c>
      <c r="K159" s="199">
        <f>ROUND((E159*G159*I159),2)</f>
        <v>22500</v>
      </c>
      <c r="M159" s="78"/>
      <c r="N159" s="78"/>
      <c r="V159" s="124"/>
      <c r="W159" s="125"/>
      <c r="X159" s="125"/>
      <c r="Y159" s="125"/>
      <c r="Z159" s="78"/>
    </row>
    <row r="160" spans="1:26" x14ac:dyDescent="0.2">
      <c r="M160" s="87"/>
      <c r="N160" s="87"/>
      <c r="V160" s="124"/>
      <c r="W160" s="125"/>
      <c r="X160" s="125"/>
      <c r="Y160" s="125"/>
      <c r="Z160" s="87"/>
    </row>
    <row r="161" spans="1:15" x14ac:dyDescent="0.2">
      <c r="A161" s="81"/>
      <c r="B161" s="91" t="s">
        <v>138</v>
      </c>
      <c r="C161" s="329">
        <f>SUM(K158:K159)</f>
        <v>75000</v>
      </c>
      <c r="D161" s="92" t="s">
        <v>37</v>
      </c>
      <c r="E161" s="85"/>
      <c r="F161" s="85"/>
      <c r="G161" s="85"/>
      <c r="H161" s="85"/>
      <c r="I161" s="85"/>
      <c r="J161" s="124"/>
      <c r="K161" s="304"/>
      <c r="L161" s="304"/>
      <c r="M161" s="304"/>
      <c r="N161" s="304"/>
      <c r="O161" s="304"/>
    </row>
    <row r="162" spans="1:15" x14ac:dyDescent="0.2">
      <c r="A162" s="81"/>
      <c r="B162" s="85"/>
      <c r="C162" s="85"/>
      <c r="D162" s="77"/>
      <c r="E162" s="85"/>
      <c r="F162" s="85"/>
      <c r="G162" s="77"/>
      <c r="H162" s="85"/>
      <c r="I162" s="77"/>
      <c r="J162" s="85"/>
      <c r="K162" s="305"/>
      <c r="L162" s="304"/>
      <c r="M162" s="304"/>
      <c r="N162" s="304"/>
      <c r="O162" s="304"/>
    </row>
    <row r="163" spans="1:15" ht="27" customHeight="1" x14ac:dyDescent="0.2">
      <c r="A163" s="80" t="str">
        <f>'ORÇAMENTO DESONERADO'!B32</f>
        <v>4.1.5</v>
      </c>
      <c r="B163" s="601" t="str">
        <f>'ORÇAMENTO DESONERADO'!D32</f>
        <v>EXECUÇÃO E COMPACTAÇÃO DE BASE E OU SUB BASE PARA PAVIMENTAÇÃO DE SOLOS DE COMPORTAMENTO LATERÍTICO (ARENOSO) - EXCLUSIVE SOLO, ESCAVAÇÃO, CARGA E TRANSPORTE. AF_11/2019</v>
      </c>
      <c r="C163" s="601"/>
      <c r="D163" s="601"/>
      <c r="E163" s="601"/>
      <c r="F163" s="601"/>
      <c r="G163" s="601"/>
      <c r="H163" s="601"/>
      <c r="I163" s="601"/>
      <c r="J163" s="601"/>
      <c r="K163" s="601"/>
      <c r="L163" s="305"/>
      <c r="M163" s="305"/>
      <c r="N163" s="305"/>
      <c r="O163" s="305"/>
    </row>
    <row r="164" spans="1:15" x14ac:dyDescent="0.2">
      <c r="A164" s="81"/>
      <c r="B164" s="579" t="s">
        <v>2</v>
      </c>
      <c r="C164" s="579"/>
      <c r="D164" s="579"/>
      <c r="E164" s="371" t="s">
        <v>5</v>
      </c>
      <c r="F164" s="332"/>
      <c r="G164" s="332" t="s">
        <v>43</v>
      </c>
      <c r="H164" s="371"/>
      <c r="I164" s="579" t="s">
        <v>45</v>
      </c>
      <c r="J164" s="579"/>
      <c r="K164" s="86"/>
      <c r="L164" s="305"/>
      <c r="M164" s="305"/>
      <c r="N164" s="305"/>
      <c r="O164" s="305"/>
    </row>
    <row r="165" spans="1:15" x14ac:dyDescent="0.2">
      <c r="A165" s="81"/>
      <c r="B165" s="583" t="str">
        <f>B150</f>
        <v>TRAVESSA LUIZ EDUARDO MAGALHÃES</v>
      </c>
      <c r="C165" s="583"/>
      <c r="D165" s="583"/>
      <c r="E165" s="199">
        <f>I132</f>
        <v>9800</v>
      </c>
      <c r="F165" s="332" t="s">
        <v>14</v>
      </c>
      <c r="G165" s="197">
        <v>0.5</v>
      </c>
      <c r="H165" s="366" t="s">
        <v>40</v>
      </c>
      <c r="I165" s="598">
        <f>ROUND((E165*G165),2)</f>
        <v>4900</v>
      </c>
      <c r="J165" s="598"/>
      <c r="K165" s="86"/>
      <c r="L165" s="305"/>
      <c r="M165" s="305"/>
      <c r="N165" s="305"/>
      <c r="O165" s="305"/>
    </row>
    <row r="166" spans="1:15" x14ac:dyDescent="0.2">
      <c r="A166" s="81"/>
      <c r="B166" s="583" t="str">
        <f>B151</f>
        <v>TRAVESSA ARTHUR BERNADEZ</v>
      </c>
      <c r="C166" s="583"/>
      <c r="D166" s="583"/>
      <c r="E166" s="199">
        <f>I133</f>
        <v>4200</v>
      </c>
      <c r="F166" s="486" t="s">
        <v>14</v>
      </c>
      <c r="G166" s="426">
        <v>0.5</v>
      </c>
      <c r="H166" s="481" t="s">
        <v>40</v>
      </c>
      <c r="I166" s="598">
        <f>ROUND((E166*G166),2)</f>
        <v>2100</v>
      </c>
      <c r="J166" s="598"/>
      <c r="K166" s="86"/>
      <c r="L166" s="305"/>
      <c r="M166" s="305"/>
      <c r="N166" s="305"/>
      <c r="O166" s="305"/>
    </row>
    <row r="167" spans="1:15" x14ac:dyDescent="0.2">
      <c r="A167" s="81"/>
      <c r="B167" s="88"/>
      <c r="C167" s="21"/>
      <c r="D167" s="89"/>
      <c r="E167" s="18"/>
      <c r="F167" s="127"/>
      <c r="G167" s="89"/>
      <c r="H167" s="127"/>
      <c r="I167" s="89"/>
      <c r="J167" s="124"/>
      <c r="K167" s="304"/>
      <c r="L167" s="305"/>
      <c r="M167" s="305"/>
      <c r="N167" s="305"/>
      <c r="O167" s="305"/>
    </row>
    <row r="168" spans="1:15" x14ac:dyDescent="0.2">
      <c r="A168" s="81"/>
      <c r="B168" s="91" t="s">
        <v>138</v>
      </c>
      <c r="C168" s="329">
        <f>SUM(I165:J166)</f>
        <v>7000</v>
      </c>
      <c r="D168" s="92" t="s">
        <v>36</v>
      </c>
      <c r="E168" s="85"/>
      <c r="F168" s="85"/>
      <c r="G168" s="85"/>
      <c r="H168" s="85"/>
      <c r="I168" s="85"/>
      <c r="J168" s="124"/>
      <c r="K168" s="304"/>
      <c r="L168" s="305"/>
      <c r="M168" s="305"/>
      <c r="N168" s="305"/>
      <c r="O168" s="305"/>
    </row>
    <row r="169" spans="1:15" x14ac:dyDescent="0.2">
      <c r="A169" s="81"/>
      <c r="B169" s="85"/>
      <c r="C169" s="85"/>
      <c r="D169" s="77"/>
      <c r="E169" s="85"/>
      <c r="F169" s="85"/>
      <c r="G169" s="77"/>
      <c r="H169" s="85"/>
      <c r="I169" s="77"/>
      <c r="J169" s="85"/>
      <c r="K169" s="305"/>
      <c r="L169" s="305"/>
      <c r="M169" s="305"/>
      <c r="N169" s="305"/>
      <c r="O169" s="305"/>
    </row>
    <row r="170" spans="1:15" x14ac:dyDescent="0.2">
      <c r="A170" s="80"/>
      <c r="B170" s="85"/>
      <c r="C170" s="85"/>
      <c r="D170" s="85"/>
      <c r="E170" s="85"/>
      <c r="F170" s="85"/>
      <c r="G170" s="85"/>
      <c r="H170" s="85"/>
      <c r="I170" s="77"/>
      <c r="J170" s="85"/>
      <c r="K170" s="305"/>
      <c r="L170" s="305"/>
      <c r="M170" s="305"/>
      <c r="N170" s="305"/>
      <c r="O170" s="305"/>
    </row>
    <row r="171" spans="1:15" x14ac:dyDescent="0.2">
      <c r="A171" s="337" t="s">
        <v>180</v>
      </c>
      <c r="B171" s="85"/>
      <c r="C171" s="85"/>
      <c r="D171" s="85"/>
      <c r="E171" s="85"/>
      <c r="F171" s="85"/>
      <c r="G171" s="85"/>
      <c r="H171" s="85"/>
      <c r="I171" s="77"/>
      <c r="J171" s="85"/>
      <c r="K171" s="305"/>
      <c r="L171" s="305"/>
      <c r="M171" s="305"/>
      <c r="N171" s="305"/>
      <c r="O171" s="305"/>
    </row>
    <row r="172" spans="1:15" x14ac:dyDescent="0.2">
      <c r="A172" s="80"/>
      <c r="B172" s="81"/>
      <c r="C172" s="85"/>
      <c r="D172" s="77"/>
      <c r="E172" s="85"/>
      <c r="F172" s="85"/>
      <c r="G172" s="77"/>
      <c r="H172" s="85"/>
      <c r="I172" s="77"/>
      <c r="J172" s="85"/>
      <c r="K172" s="305"/>
      <c r="L172" s="305"/>
      <c r="M172" s="305"/>
      <c r="N172" s="305"/>
      <c r="O172" s="305"/>
    </row>
    <row r="173" spans="1:15" x14ac:dyDescent="0.2">
      <c r="A173" s="211">
        <f>'ORÇAMENTO DESONERADO'!B35</f>
        <v>5</v>
      </c>
      <c r="B173" s="595" t="str">
        <f>'ORÇAMENTO DESONERADO'!D35</f>
        <v>DRENAGEM SUPERFICIAL</v>
      </c>
      <c r="C173" s="596"/>
      <c r="D173" s="596"/>
      <c r="E173" s="596"/>
      <c r="F173" s="596"/>
      <c r="G173" s="596"/>
      <c r="H173" s="596"/>
      <c r="I173" s="596"/>
      <c r="J173" s="596"/>
      <c r="K173" s="597"/>
      <c r="L173" s="305"/>
      <c r="M173" s="305"/>
      <c r="N173" s="305"/>
      <c r="O173" s="305"/>
    </row>
    <row r="174" spans="1:15" x14ac:dyDescent="0.2">
      <c r="A174" s="80"/>
      <c r="B174" s="81"/>
      <c r="C174" s="85"/>
      <c r="D174" s="77"/>
      <c r="E174" s="85"/>
      <c r="F174" s="85"/>
      <c r="G174" s="77"/>
      <c r="H174" s="85"/>
      <c r="I174" s="77"/>
      <c r="J174" s="85"/>
      <c r="K174" s="305"/>
      <c r="L174" s="305"/>
      <c r="M174" s="305"/>
      <c r="N174" s="305"/>
      <c r="O174" s="305"/>
    </row>
    <row r="175" spans="1:15" ht="26.25" customHeight="1" x14ac:dyDescent="0.2">
      <c r="A175" s="189" t="str">
        <f>'ORÇAMENTO DESONERADO'!B36</f>
        <v>5.1</v>
      </c>
      <c r="B175" s="575" t="str">
        <f>'ORÇAMENTO DESONERADO'!D36</f>
        <v>ASSENTAMENTO DE GUIA (MEIO-FIO) EM TRECHO RETO, CONFECCIONADA EM CONCRETO PRÉ-FABRICADO, DIMENSÕES 100X15X13X30 CM (COMPRIMENTO X BASE INFERIOR X BASE SUPERIOR X ALTURA), PARA VIAS URBANAS (USO VIÁRIO). AF_06/2016</v>
      </c>
      <c r="C175" s="575"/>
      <c r="D175" s="575"/>
      <c r="E175" s="575"/>
      <c r="F175" s="575"/>
      <c r="G175" s="575"/>
      <c r="H175" s="575"/>
      <c r="I175" s="575"/>
      <c r="J175" s="575"/>
      <c r="K175" s="575"/>
      <c r="L175" s="305"/>
      <c r="M175" s="305"/>
      <c r="N175" s="305"/>
      <c r="O175" s="305"/>
    </row>
    <row r="176" spans="1:15" x14ac:dyDescent="0.2">
      <c r="A176" s="191"/>
      <c r="B176" s="192"/>
      <c r="C176" s="192"/>
      <c r="D176" s="192"/>
      <c r="E176" s="335"/>
      <c r="F176" s="335"/>
      <c r="G176" s="335"/>
      <c r="H176" s="335"/>
      <c r="I176" s="193"/>
      <c r="J176" s="194"/>
      <c r="K176" s="195"/>
      <c r="L176" s="305"/>
      <c r="M176" s="305"/>
      <c r="N176" s="305"/>
      <c r="O176" s="305"/>
    </row>
    <row r="177" spans="1:15" ht="26.25" customHeight="1" x14ac:dyDescent="0.2">
      <c r="A177" s="191"/>
      <c r="B177" s="579" t="s">
        <v>2</v>
      </c>
      <c r="C177" s="579"/>
      <c r="D177" s="579"/>
      <c r="E177" s="486" t="s">
        <v>376</v>
      </c>
      <c r="F177" s="493" t="s">
        <v>378</v>
      </c>
      <c r="G177" s="493" t="s">
        <v>375</v>
      </c>
      <c r="H177" s="163" t="s">
        <v>377</v>
      </c>
      <c r="I177" s="486" t="s">
        <v>142</v>
      </c>
      <c r="J177" s="490"/>
      <c r="K177" s="196"/>
      <c r="L177" s="305"/>
      <c r="M177" s="305"/>
      <c r="N177" s="305"/>
      <c r="O177" s="305"/>
    </row>
    <row r="178" spans="1:15" ht="24.95" customHeight="1" x14ac:dyDescent="0.2">
      <c r="A178" s="193"/>
      <c r="B178" s="583" t="str">
        <f>B150</f>
        <v>TRAVESSA LUIZ EDUARDO MAGALHÃES</v>
      </c>
      <c r="C178" s="583"/>
      <c r="D178" s="583"/>
      <c r="E178" s="199">
        <f>'DADOS DA OBRA'!E11*2</f>
        <v>2800</v>
      </c>
      <c r="F178" s="486">
        <v>10</v>
      </c>
      <c r="G178" s="486">
        <v>6</v>
      </c>
      <c r="H178" s="494">
        <f>F178*G178</f>
        <v>60</v>
      </c>
      <c r="I178" s="494">
        <f>E178-H178</f>
        <v>2740</v>
      </c>
      <c r="J178" s="582" t="s">
        <v>379</v>
      </c>
      <c r="K178" s="582"/>
      <c r="L178" s="305"/>
      <c r="M178" s="305"/>
      <c r="N178" s="305"/>
      <c r="O178" s="305"/>
    </row>
    <row r="179" spans="1:15" ht="24.95" customHeight="1" x14ac:dyDescent="0.2">
      <c r="A179" s="193"/>
      <c r="B179" s="583" t="str">
        <f>B151</f>
        <v>TRAVESSA ARTHUR BERNADEZ</v>
      </c>
      <c r="C179" s="583"/>
      <c r="D179" s="583"/>
      <c r="E179" s="199">
        <f>'DADOS DA OBRA'!E12*2</f>
        <v>1200</v>
      </c>
      <c r="F179" s="486">
        <v>6</v>
      </c>
      <c r="G179" s="486">
        <v>6</v>
      </c>
      <c r="H179" s="494">
        <f>F179*G179</f>
        <v>36</v>
      </c>
      <c r="I179" s="494">
        <f>E179-H179</f>
        <v>1164</v>
      </c>
      <c r="J179" s="582"/>
      <c r="K179" s="582"/>
      <c r="L179" s="305"/>
      <c r="M179" s="305"/>
      <c r="N179" s="305"/>
      <c r="O179" s="305"/>
    </row>
    <row r="180" spans="1:15" x14ac:dyDescent="0.2">
      <c r="A180" s="77"/>
      <c r="B180" s="330"/>
      <c r="C180" s="330"/>
      <c r="D180" s="330"/>
      <c r="E180" s="404"/>
      <c r="F180" s="330"/>
      <c r="G180" s="330"/>
      <c r="H180" s="404"/>
      <c r="I180" s="330"/>
      <c r="J180" s="330"/>
      <c r="K180" s="330"/>
      <c r="L180" s="305"/>
      <c r="M180" s="305"/>
      <c r="N180" s="305"/>
      <c r="O180" s="305"/>
    </row>
    <row r="181" spans="1:15" x14ac:dyDescent="0.2">
      <c r="A181" s="77"/>
      <c r="B181" s="91" t="s">
        <v>138</v>
      </c>
      <c r="C181" s="329">
        <f>SUM(I178:I179)</f>
        <v>3904</v>
      </c>
      <c r="D181" s="92" t="s">
        <v>142</v>
      </c>
      <c r="E181" s="404"/>
      <c r="F181" s="330"/>
      <c r="G181" s="616"/>
      <c r="H181" s="616"/>
      <c r="I181" s="330"/>
      <c r="J181" s="330"/>
      <c r="K181" s="330"/>
      <c r="L181" s="305"/>
      <c r="M181" s="305"/>
      <c r="N181" s="305"/>
      <c r="O181" s="305"/>
    </row>
    <row r="182" spans="1:15" x14ac:dyDescent="0.2">
      <c r="A182" s="80"/>
      <c r="B182" s="81"/>
      <c r="C182" s="85"/>
      <c r="D182" s="77"/>
      <c r="E182" s="85"/>
      <c r="F182" s="85"/>
      <c r="G182" s="77"/>
      <c r="H182" s="85"/>
      <c r="I182" s="77"/>
      <c r="J182" s="85"/>
      <c r="K182" s="305"/>
      <c r="L182" s="305"/>
      <c r="M182" s="305"/>
      <c r="N182" s="305"/>
      <c r="O182" s="305"/>
    </row>
    <row r="183" spans="1:15" x14ac:dyDescent="0.2">
      <c r="A183" s="80" t="str">
        <f>'ORÇAMENTO DESONERADO'!B37</f>
        <v>5.2</v>
      </c>
      <c r="B183" s="81" t="str">
        <f>'ORÇAMENTO DESONERADO'!D37</f>
        <v>EXECUÇÃO DE SARJETA DE CONCRETO USINADO, MOLDADA IN LOCO EM TRECHO CURVO, 45 CM BASE X 15 CM ALTURA. AF_06/2016</v>
      </c>
      <c r="C183" s="85"/>
      <c r="D183" s="77"/>
      <c r="E183" s="85"/>
      <c r="F183" s="85"/>
      <c r="G183" s="77"/>
      <c r="H183" s="85"/>
      <c r="I183" s="77"/>
      <c r="J183" s="85"/>
      <c r="K183" s="305"/>
      <c r="L183" s="305"/>
      <c r="M183" s="305"/>
      <c r="N183" s="305"/>
      <c r="O183" s="305"/>
    </row>
    <row r="184" spans="1:15" x14ac:dyDescent="0.2">
      <c r="A184" s="81"/>
      <c r="B184" s="85"/>
      <c r="C184" s="85"/>
      <c r="D184" s="77"/>
      <c r="E184" s="85"/>
      <c r="F184" s="85"/>
      <c r="G184" s="77"/>
      <c r="H184" s="85"/>
      <c r="I184" s="77"/>
      <c r="J184" s="85"/>
      <c r="K184" s="305"/>
      <c r="L184" s="305"/>
      <c r="M184" s="305"/>
      <c r="N184" s="305"/>
      <c r="O184" s="305"/>
    </row>
    <row r="185" spans="1:15" ht="25.5" x14ac:dyDescent="0.2">
      <c r="A185" s="81"/>
      <c r="B185" s="581" t="s">
        <v>2</v>
      </c>
      <c r="C185" s="581"/>
      <c r="D185" s="581"/>
      <c r="E185" s="486" t="s">
        <v>376</v>
      </c>
      <c r="F185" s="493" t="s">
        <v>378</v>
      </c>
      <c r="G185" s="493" t="s">
        <v>375</v>
      </c>
      <c r="H185" s="163" t="s">
        <v>377</v>
      </c>
      <c r="I185" s="486" t="s">
        <v>142</v>
      </c>
      <c r="J185" s="490"/>
      <c r="K185" s="196"/>
      <c r="L185" s="305"/>
      <c r="M185" s="305"/>
      <c r="N185" s="305"/>
      <c r="O185" s="305"/>
    </row>
    <row r="186" spans="1:15" ht="24.95" customHeight="1" x14ac:dyDescent="0.2">
      <c r="A186" s="81"/>
      <c r="B186" s="580" t="str">
        <f>B178</f>
        <v>TRAVESSA LUIZ EDUARDO MAGALHÃES</v>
      </c>
      <c r="C186" s="580"/>
      <c r="D186" s="580"/>
      <c r="E186" s="199">
        <f>E178</f>
        <v>2800</v>
      </c>
      <c r="F186" s="486">
        <v>10</v>
      </c>
      <c r="G186" s="486">
        <v>6</v>
      </c>
      <c r="H186" s="494">
        <f>F186*G186</f>
        <v>60</v>
      </c>
      <c r="I186" s="494">
        <f>E186-H186</f>
        <v>2740</v>
      </c>
      <c r="J186" s="582" t="s">
        <v>379</v>
      </c>
      <c r="K186" s="582"/>
      <c r="L186" s="305"/>
      <c r="M186" s="305"/>
      <c r="N186" s="305"/>
      <c r="O186" s="305"/>
    </row>
    <row r="187" spans="1:15" ht="24.95" customHeight="1" x14ac:dyDescent="0.2">
      <c r="A187" s="81"/>
      <c r="B187" s="580" t="str">
        <f>B179</f>
        <v>TRAVESSA ARTHUR BERNADEZ</v>
      </c>
      <c r="C187" s="580"/>
      <c r="D187" s="580"/>
      <c r="E187" s="199">
        <f>E179</f>
        <v>1200</v>
      </c>
      <c r="F187" s="486">
        <v>6</v>
      </c>
      <c r="G187" s="486">
        <v>6</v>
      </c>
      <c r="H187" s="494">
        <f>F187*G187</f>
        <v>36</v>
      </c>
      <c r="I187" s="494">
        <f>E187-H187</f>
        <v>1164</v>
      </c>
      <c r="J187" s="582"/>
      <c r="K187" s="582"/>
      <c r="L187" s="305"/>
      <c r="M187" s="305"/>
      <c r="N187" s="305"/>
      <c r="O187" s="305"/>
    </row>
    <row r="188" spans="1:15" x14ac:dyDescent="0.2">
      <c r="A188" s="81"/>
      <c r="B188" s="85"/>
      <c r="C188" s="85"/>
      <c r="D188" s="77"/>
      <c r="E188" s="85"/>
      <c r="F188" s="85"/>
      <c r="G188" s="77"/>
      <c r="H188" s="85"/>
      <c r="I188" s="77"/>
      <c r="J188" s="85"/>
      <c r="K188" s="305"/>
      <c r="L188" s="305"/>
      <c r="M188" s="305"/>
      <c r="N188" s="305"/>
      <c r="O188" s="305"/>
    </row>
    <row r="189" spans="1:15" x14ac:dyDescent="0.2">
      <c r="A189" s="81"/>
      <c r="B189" s="91" t="s">
        <v>138</v>
      </c>
      <c r="C189" s="329">
        <f>SUM(I186:I187)</f>
        <v>3904</v>
      </c>
      <c r="D189" s="92" t="s">
        <v>142</v>
      </c>
      <c r="E189" s="85"/>
      <c r="F189" s="85"/>
      <c r="G189" s="77"/>
      <c r="H189" s="85"/>
      <c r="I189" s="77"/>
      <c r="J189" s="85"/>
      <c r="K189" s="305"/>
      <c r="L189" s="305"/>
      <c r="M189" s="305"/>
      <c r="N189" s="305"/>
      <c r="O189" s="305"/>
    </row>
    <row r="190" spans="1:15" x14ac:dyDescent="0.2">
      <c r="A190" s="81"/>
      <c r="B190" s="85"/>
      <c r="C190" s="85"/>
      <c r="D190" s="77"/>
      <c r="E190" s="85"/>
      <c r="F190" s="85"/>
      <c r="G190" s="77"/>
      <c r="H190" s="85"/>
      <c r="I190" s="77"/>
      <c r="J190" s="85"/>
      <c r="K190" s="305"/>
      <c r="L190" s="305"/>
      <c r="M190" s="305"/>
      <c r="N190" s="305"/>
      <c r="O190" s="305"/>
    </row>
    <row r="191" spans="1:15" ht="26.25" customHeight="1" x14ac:dyDescent="0.2">
      <c r="A191" s="189" t="str">
        <f>'ORÇAMENTO DESONERADO'!B38</f>
        <v>5.3</v>
      </c>
      <c r="B191" s="575" t="str">
        <f>'ORÇAMENTO DESONERADO'!D38</f>
        <v>EXECUÇÃO DE SARJETÃO DE CONCRETO USINADO, MOLDADA IN LOCO EM TRECHO RETO, 100 CM BASE X 20 CM ALTURA. AF_06/2016</v>
      </c>
      <c r="C191" s="575"/>
      <c r="D191" s="575"/>
      <c r="E191" s="575"/>
      <c r="F191" s="575"/>
      <c r="G191" s="575"/>
      <c r="H191" s="575"/>
      <c r="I191" s="575"/>
      <c r="J191" s="575"/>
      <c r="K191" s="575"/>
      <c r="L191" s="78"/>
      <c r="M191" s="78"/>
      <c r="N191" s="78"/>
      <c r="O191" s="79"/>
    </row>
    <row r="192" spans="1:15" x14ac:dyDescent="0.2">
      <c r="A192" s="80"/>
      <c r="B192" s="81"/>
      <c r="C192" s="85"/>
      <c r="D192" s="77"/>
      <c r="E192" s="85"/>
      <c r="F192" s="85"/>
      <c r="G192" s="77"/>
      <c r="H192" s="85"/>
      <c r="I192" s="77"/>
      <c r="J192" s="85"/>
      <c r="K192" s="305"/>
      <c r="L192" s="305"/>
      <c r="M192" s="305"/>
      <c r="N192" s="305"/>
      <c r="O192" s="305"/>
    </row>
    <row r="193" spans="1:15" x14ac:dyDescent="0.2">
      <c r="A193" s="80"/>
      <c r="B193" s="581" t="s">
        <v>2</v>
      </c>
      <c r="C193" s="581"/>
      <c r="D193" s="581"/>
      <c r="E193" s="84" t="s">
        <v>380</v>
      </c>
      <c r="F193" s="84"/>
      <c r="G193" s="84" t="s">
        <v>381</v>
      </c>
      <c r="H193" s="484" t="s">
        <v>142</v>
      </c>
      <c r="I193" s="491"/>
      <c r="J193" s="491"/>
      <c r="K193" s="305"/>
    </row>
    <row r="194" spans="1:15" x14ac:dyDescent="0.2">
      <c r="A194" s="80"/>
      <c r="B194" s="580" t="str">
        <f>B186</f>
        <v>TRAVESSA LUIZ EDUARDO MAGALHÃES</v>
      </c>
      <c r="C194" s="580"/>
      <c r="D194" s="580"/>
      <c r="E194" s="482">
        <v>10</v>
      </c>
      <c r="F194" s="84" t="s">
        <v>14</v>
      </c>
      <c r="G194" s="414">
        <v>6</v>
      </c>
      <c r="H194" s="482">
        <f>E194*G194</f>
        <v>60</v>
      </c>
      <c r="I194" s="492"/>
      <c r="J194" s="492"/>
      <c r="K194" s="305"/>
      <c r="L194" s="305"/>
      <c r="M194" s="305"/>
      <c r="N194" s="305"/>
      <c r="O194" s="305"/>
    </row>
    <row r="195" spans="1:15" x14ac:dyDescent="0.2">
      <c r="A195" s="80"/>
      <c r="B195" s="580" t="str">
        <f>B187</f>
        <v>TRAVESSA ARTHUR BERNADEZ</v>
      </c>
      <c r="C195" s="580"/>
      <c r="D195" s="580"/>
      <c r="E195" s="482">
        <v>6</v>
      </c>
      <c r="F195" s="84" t="s">
        <v>14</v>
      </c>
      <c r="G195" s="414">
        <v>6</v>
      </c>
      <c r="H195" s="482">
        <f>E195*G195</f>
        <v>36</v>
      </c>
      <c r="I195" s="77"/>
      <c r="J195" s="85"/>
      <c r="K195" s="305"/>
      <c r="L195" s="305"/>
      <c r="M195" s="305"/>
      <c r="N195" s="305"/>
      <c r="O195" s="305"/>
    </row>
    <row r="196" spans="1:15" x14ac:dyDescent="0.2">
      <c r="A196" s="80"/>
      <c r="B196" s="495"/>
      <c r="C196" s="495"/>
      <c r="D196" s="495"/>
      <c r="E196" s="21"/>
      <c r="F196" s="89"/>
      <c r="G196" s="18"/>
      <c r="H196" s="21"/>
      <c r="I196" s="77"/>
      <c r="J196" s="85"/>
      <c r="K196" s="305"/>
      <c r="L196" s="305"/>
      <c r="M196" s="305"/>
      <c r="N196" s="305"/>
      <c r="O196" s="305"/>
    </row>
    <row r="197" spans="1:15" x14ac:dyDescent="0.2">
      <c r="A197" s="80"/>
      <c r="B197" s="91" t="s">
        <v>138</v>
      </c>
      <c r="C197" s="329">
        <f>SUM(H194:H195)</f>
        <v>96</v>
      </c>
      <c r="D197" s="129" t="s">
        <v>36</v>
      </c>
      <c r="E197" s="85"/>
      <c r="F197" s="85"/>
      <c r="G197" s="85"/>
      <c r="H197" s="85"/>
      <c r="I197" s="77"/>
      <c r="J197" s="85"/>
      <c r="K197" s="305"/>
      <c r="L197" s="305"/>
      <c r="M197" s="305"/>
      <c r="N197" s="305"/>
      <c r="O197" s="305"/>
    </row>
    <row r="198" spans="1:15" x14ac:dyDescent="0.2">
      <c r="A198" s="80"/>
      <c r="B198" s="81"/>
      <c r="C198" s="85"/>
      <c r="D198" s="77"/>
      <c r="E198" s="85"/>
      <c r="F198" s="85"/>
      <c r="G198" s="77"/>
      <c r="H198" s="85"/>
      <c r="I198" s="77"/>
      <c r="J198" s="85"/>
      <c r="K198" s="305"/>
      <c r="L198" s="305"/>
      <c r="M198" s="305"/>
      <c r="N198" s="305"/>
      <c r="O198" s="305"/>
    </row>
    <row r="199" spans="1:15" x14ac:dyDescent="0.2">
      <c r="A199" s="211">
        <f>'ORÇAMENTO DESONERADO'!B41</f>
        <v>6</v>
      </c>
      <c r="B199" s="595" t="str">
        <f>'ORÇAMENTO DESONERADO'!D41</f>
        <v>URBANISMO DO PASSEIO</v>
      </c>
      <c r="C199" s="596"/>
      <c r="D199" s="596"/>
      <c r="E199" s="596"/>
      <c r="F199" s="596"/>
      <c r="G199" s="596"/>
      <c r="H199" s="596"/>
      <c r="I199" s="596"/>
      <c r="J199" s="596"/>
      <c r="K199" s="597"/>
      <c r="L199" s="305"/>
      <c r="M199" s="305"/>
      <c r="N199" s="305"/>
      <c r="O199" s="305"/>
    </row>
    <row r="200" spans="1:15" x14ac:dyDescent="0.2">
      <c r="A200" s="211" t="str">
        <f>'ORÇAMENTO DESONERADO'!B42</f>
        <v>6.1</v>
      </c>
      <c r="B200" s="595" t="str">
        <f>'ORÇAMENTO DESONERADO'!D42</f>
        <v>CALÇADA</v>
      </c>
      <c r="C200" s="596"/>
      <c r="D200" s="596"/>
      <c r="E200" s="596"/>
      <c r="F200" s="596"/>
      <c r="G200" s="596"/>
      <c r="H200" s="596"/>
      <c r="I200" s="596"/>
      <c r="J200" s="596"/>
      <c r="K200" s="597"/>
      <c r="L200" s="305"/>
      <c r="M200" s="305"/>
      <c r="N200" s="305"/>
      <c r="O200" s="305"/>
    </row>
    <row r="201" spans="1:15" x14ac:dyDescent="0.2">
      <c r="A201" s="80"/>
      <c r="B201" s="81"/>
      <c r="C201" s="85"/>
      <c r="D201" s="77"/>
      <c r="E201" s="85"/>
      <c r="F201" s="85"/>
      <c r="G201" s="77"/>
      <c r="H201" s="85"/>
      <c r="I201" s="77"/>
      <c r="J201" s="85"/>
      <c r="K201" s="305"/>
      <c r="L201" s="305"/>
      <c r="M201" s="305"/>
      <c r="N201" s="305"/>
      <c r="O201" s="305"/>
    </row>
    <row r="202" spans="1:15" ht="24.75" customHeight="1" x14ac:dyDescent="0.2">
      <c r="A202" s="189" t="str">
        <f>'ORÇAMENTO DESONERADO'!B43</f>
        <v>6.1.1</v>
      </c>
      <c r="B202" s="575" t="str">
        <f>'ORÇAMENTO DESONERADO'!D43</f>
        <v>ATERRO MANUAL DE VALAS COM AREIA PARA ATERRO E COMPACTAÇÃO MECANIZADA. AF_05/2016</v>
      </c>
      <c r="C202" s="575"/>
      <c r="D202" s="575"/>
      <c r="E202" s="575"/>
      <c r="F202" s="575"/>
      <c r="G202" s="575"/>
      <c r="H202" s="575"/>
      <c r="I202" s="575"/>
      <c r="J202" s="575"/>
      <c r="K202" s="575"/>
      <c r="L202" s="305"/>
      <c r="M202" s="305"/>
      <c r="N202" s="305"/>
      <c r="O202" s="305"/>
    </row>
    <row r="203" spans="1:15" x14ac:dyDescent="0.2">
      <c r="A203" s="191"/>
      <c r="B203" s="192"/>
      <c r="C203" s="192"/>
      <c r="D203" s="192"/>
      <c r="E203" s="335"/>
      <c r="F203" s="335"/>
      <c r="G203" s="335"/>
      <c r="H203" s="335"/>
      <c r="I203" s="193"/>
      <c r="J203" s="194"/>
      <c r="K203" s="195"/>
      <c r="L203" s="305"/>
      <c r="M203" s="305"/>
      <c r="N203" s="305"/>
      <c r="O203" s="305"/>
    </row>
    <row r="204" spans="1:15" ht="25.5" x14ac:dyDescent="0.2">
      <c r="A204" s="191"/>
      <c r="B204" s="579" t="s">
        <v>2</v>
      </c>
      <c r="C204" s="579"/>
      <c r="D204" s="579"/>
      <c r="E204" s="371" t="s">
        <v>382</v>
      </c>
      <c r="F204" s="332"/>
      <c r="G204" s="163" t="s">
        <v>383</v>
      </c>
      <c r="H204" s="371"/>
      <c r="I204" s="481" t="s">
        <v>384</v>
      </c>
      <c r="J204" s="579" t="s">
        <v>36</v>
      </c>
      <c r="K204" s="579"/>
      <c r="L204" s="305"/>
      <c r="M204" s="305"/>
      <c r="N204" s="305"/>
      <c r="O204" s="305"/>
    </row>
    <row r="205" spans="1:15" x14ac:dyDescent="0.2">
      <c r="A205" s="193"/>
      <c r="B205" s="583" t="str">
        <f>B132</f>
        <v>TRAVESSA LUIZ EDUARDO MAGALHÃES</v>
      </c>
      <c r="C205" s="583"/>
      <c r="D205" s="583"/>
      <c r="E205" s="199">
        <f>I178</f>
        <v>2740</v>
      </c>
      <c r="F205" s="332" t="s">
        <v>14</v>
      </c>
      <c r="G205" s="197">
        <v>1.2</v>
      </c>
      <c r="H205" s="366" t="s">
        <v>14</v>
      </c>
      <c r="I205" s="483">
        <v>0.1</v>
      </c>
      <c r="J205" s="598">
        <f>E205*G205*I205</f>
        <v>328.8</v>
      </c>
      <c r="K205" s="598"/>
      <c r="L205" s="305"/>
      <c r="M205" s="305"/>
      <c r="N205" s="305"/>
      <c r="O205" s="305"/>
    </row>
    <row r="206" spans="1:15" x14ac:dyDescent="0.2">
      <c r="A206" s="193"/>
      <c r="B206" s="583" t="str">
        <f>B133</f>
        <v>TRAVESSA ARTHUR BERNADEZ</v>
      </c>
      <c r="C206" s="583"/>
      <c r="D206" s="583"/>
      <c r="E206" s="199">
        <f>E179</f>
        <v>1200</v>
      </c>
      <c r="F206" s="486" t="s">
        <v>14</v>
      </c>
      <c r="G206" s="426">
        <v>1.2</v>
      </c>
      <c r="H206" s="481" t="s">
        <v>14</v>
      </c>
      <c r="I206" s="483">
        <v>0.1</v>
      </c>
      <c r="J206" s="598">
        <f>E206*G206*I206</f>
        <v>144</v>
      </c>
      <c r="K206" s="598"/>
      <c r="L206" s="305"/>
      <c r="M206" s="305"/>
      <c r="N206" s="305"/>
      <c r="O206" s="305"/>
    </row>
    <row r="207" spans="1:15" x14ac:dyDescent="0.2">
      <c r="A207" s="77"/>
      <c r="B207" s="330"/>
      <c r="C207" s="330"/>
      <c r="D207" s="330"/>
      <c r="E207" s="404"/>
      <c r="F207" s="330"/>
      <c r="G207" s="330"/>
      <c r="H207" s="404"/>
      <c r="I207" s="330"/>
      <c r="J207" s="330"/>
      <c r="K207" s="330"/>
      <c r="L207" s="305"/>
      <c r="M207" s="305"/>
      <c r="N207" s="305"/>
      <c r="O207" s="305"/>
    </row>
    <row r="208" spans="1:15" x14ac:dyDescent="0.2">
      <c r="A208" s="77"/>
      <c r="B208" s="91" t="s">
        <v>138</v>
      </c>
      <c r="C208" s="329">
        <f>SUM(J205:K206)</f>
        <v>472.8</v>
      </c>
      <c r="D208" s="92" t="s">
        <v>36</v>
      </c>
      <c r="E208" s="404"/>
      <c r="F208" s="330"/>
      <c r="G208" s="616"/>
      <c r="H208" s="616"/>
      <c r="I208" s="330"/>
      <c r="J208" s="330"/>
      <c r="K208" s="330"/>
      <c r="L208" s="305"/>
      <c r="M208" s="305"/>
      <c r="N208" s="305"/>
      <c r="O208" s="305"/>
    </row>
    <row r="209" spans="1:15" x14ac:dyDescent="0.2">
      <c r="A209" s="80"/>
      <c r="B209" s="81"/>
      <c r="C209" s="85"/>
      <c r="D209" s="77"/>
      <c r="E209" s="85"/>
      <c r="F209" s="85"/>
      <c r="G209" s="77"/>
      <c r="H209" s="85"/>
      <c r="I209" s="77"/>
      <c r="J209" s="85"/>
      <c r="K209" s="305"/>
      <c r="L209" s="305"/>
      <c r="M209" s="305"/>
      <c r="N209" s="305"/>
      <c r="O209" s="305"/>
    </row>
    <row r="210" spans="1:15" ht="31.5" customHeight="1" x14ac:dyDescent="0.2">
      <c r="A210" s="80" t="str">
        <f>'ORÇAMENTO DESONERADO'!B44</f>
        <v>6.1.2</v>
      </c>
      <c r="B210" s="601" t="str">
        <f>'ORÇAMENTO DESONERADO'!D44</f>
        <v>EXECUÇÃO DE PASSEIO (CALÇADA) OU PISO DE CONCRETO COM CONCRETO MOLDADO IN LOCO, FEITO EM OBRA, ACABAMENTO CONVENCIONAL, ESPESSURA 6 CM, ARMADO. AF_07/2016</v>
      </c>
      <c r="C210" s="601"/>
      <c r="D210" s="601"/>
      <c r="E210" s="601"/>
      <c r="F210" s="601"/>
      <c r="G210" s="601"/>
      <c r="H210" s="601"/>
      <c r="I210" s="601"/>
      <c r="J210" s="601"/>
      <c r="K210" s="601"/>
      <c r="L210" s="305"/>
      <c r="M210" s="305"/>
      <c r="N210" s="305"/>
      <c r="O210" s="305"/>
    </row>
    <row r="211" spans="1:15" x14ac:dyDescent="0.2">
      <c r="A211" s="81"/>
      <c r="B211" s="85"/>
      <c r="C211" s="85"/>
      <c r="D211" s="77"/>
      <c r="E211" s="85"/>
      <c r="F211" s="85"/>
      <c r="G211" s="77"/>
      <c r="H211" s="85"/>
      <c r="I211" s="77"/>
      <c r="J211" s="85"/>
      <c r="K211" s="305"/>
      <c r="L211" s="305"/>
      <c r="M211" s="305"/>
      <c r="N211" s="305"/>
      <c r="O211" s="305"/>
    </row>
    <row r="212" spans="1:15" ht="25.5" x14ac:dyDescent="0.2">
      <c r="A212" s="81"/>
      <c r="B212" s="581" t="s">
        <v>2</v>
      </c>
      <c r="C212" s="581"/>
      <c r="D212" s="581"/>
      <c r="E212" s="484" t="s">
        <v>382</v>
      </c>
      <c r="F212" s="486"/>
      <c r="G212" s="163" t="s">
        <v>383</v>
      </c>
      <c r="H212" s="486"/>
      <c r="I212" s="579" t="s">
        <v>5</v>
      </c>
      <c r="J212" s="579"/>
      <c r="K212" s="127"/>
      <c r="L212" s="305"/>
      <c r="M212" s="305"/>
      <c r="N212" s="305"/>
      <c r="O212" s="305"/>
    </row>
    <row r="213" spans="1:15" x14ac:dyDescent="0.2">
      <c r="A213" s="81"/>
      <c r="B213" s="580" t="str">
        <f>B205</f>
        <v>TRAVESSA LUIZ EDUARDO MAGALHÃES</v>
      </c>
      <c r="C213" s="580"/>
      <c r="D213" s="580"/>
      <c r="E213" s="128">
        <f>E205</f>
        <v>2740</v>
      </c>
      <c r="F213" s="486" t="s">
        <v>14</v>
      </c>
      <c r="G213" s="426">
        <f>G205</f>
        <v>1.2</v>
      </c>
      <c r="H213" s="481" t="s">
        <v>40</v>
      </c>
      <c r="I213" s="598">
        <f>E213*G213</f>
        <v>3288</v>
      </c>
      <c r="J213" s="598"/>
      <c r="K213" s="21"/>
      <c r="L213" s="305"/>
      <c r="M213" s="305"/>
      <c r="N213" s="305"/>
      <c r="O213" s="305"/>
    </row>
    <row r="214" spans="1:15" x14ac:dyDescent="0.2">
      <c r="A214" s="81"/>
      <c r="B214" s="580" t="str">
        <f>B206</f>
        <v>TRAVESSA ARTHUR BERNADEZ</v>
      </c>
      <c r="C214" s="580"/>
      <c r="D214" s="580"/>
      <c r="E214" s="128">
        <f>E206</f>
        <v>1200</v>
      </c>
      <c r="F214" s="486" t="s">
        <v>14</v>
      </c>
      <c r="G214" s="426">
        <f>G206</f>
        <v>1.2</v>
      </c>
      <c r="H214" s="481" t="s">
        <v>40</v>
      </c>
      <c r="I214" s="598">
        <f>E214*G214</f>
        <v>1440</v>
      </c>
      <c r="J214" s="598"/>
      <c r="K214" s="21"/>
      <c r="L214" s="305"/>
      <c r="M214" s="305"/>
      <c r="N214" s="305"/>
      <c r="O214" s="305"/>
    </row>
    <row r="215" spans="1:15" x14ac:dyDescent="0.2">
      <c r="A215" s="81"/>
      <c r="B215" s="85"/>
      <c r="C215" s="85"/>
      <c r="D215" s="77"/>
      <c r="E215" s="85"/>
      <c r="F215" s="85"/>
      <c r="G215" s="77"/>
      <c r="H215" s="85"/>
      <c r="I215" s="77"/>
      <c r="J215" s="85"/>
      <c r="K215" s="305"/>
      <c r="L215" s="305"/>
      <c r="M215" s="305"/>
      <c r="N215" s="305"/>
      <c r="O215" s="305"/>
    </row>
    <row r="216" spans="1:15" x14ac:dyDescent="0.2">
      <c r="A216" s="81"/>
      <c r="B216" s="91" t="s">
        <v>138</v>
      </c>
      <c r="C216" s="329">
        <f>SUM(I213:J214)</f>
        <v>4728</v>
      </c>
      <c r="D216" s="92" t="s">
        <v>34</v>
      </c>
      <c r="E216" s="85"/>
      <c r="F216" s="85"/>
      <c r="G216" s="77"/>
      <c r="H216" s="85"/>
      <c r="I216" s="77"/>
      <c r="J216" s="85"/>
      <c r="K216" s="305"/>
      <c r="L216" s="305"/>
      <c r="M216" s="305"/>
      <c r="N216" s="305"/>
      <c r="O216" s="305"/>
    </row>
    <row r="217" spans="1:15" x14ac:dyDescent="0.2">
      <c r="A217" s="81"/>
      <c r="B217" s="85"/>
      <c r="C217" s="85"/>
      <c r="D217" s="77"/>
      <c r="E217" s="85"/>
      <c r="F217" s="85"/>
      <c r="G217" s="77"/>
      <c r="H217" s="85"/>
      <c r="I217" s="77"/>
      <c r="J217" s="85"/>
      <c r="K217" s="305"/>
      <c r="L217" s="305"/>
      <c r="M217" s="305"/>
      <c r="N217" s="305"/>
      <c r="O217" s="305"/>
    </row>
    <row r="218" spans="1:15" x14ac:dyDescent="0.2">
      <c r="A218" s="211" t="s">
        <v>56</v>
      </c>
      <c r="B218" s="595" t="s">
        <v>325</v>
      </c>
      <c r="C218" s="596"/>
      <c r="D218" s="596"/>
      <c r="E218" s="596"/>
      <c r="F218" s="596"/>
      <c r="G218" s="596"/>
      <c r="H218" s="596"/>
      <c r="I218" s="596"/>
      <c r="J218" s="596"/>
      <c r="K218" s="597"/>
      <c r="L218" s="305"/>
      <c r="M218" s="305"/>
      <c r="N218" s="305"/>
      <c r="O218" s="305"/>
    </row>
    <row r="219" spans="1:15" x14ac:dyDescent="0.2">
      <c r="A219" s="496"/>
      <c r="B219" s="497"/>
      <c r="C219" s="498"/>
      <c r="D219" s="498"/>
      <c r="E219" s="498"/>
      <c r="F219" s="498"/>
      <c r="G219" s="498"/>
      <c r="H219" s="498"/>
      <c r="I219" s="498"/>
      <c r="J219" s="498"/>
      <c r="K219" s="498"/>
      <c r="L219" s="305"/>
      <c r="M219" s="305"/>
      <c r="N219" s="305"/>
      <c r="O219" s="305"/>
    </row>
    <row r="220" spans="1:15" x14ac:dyDescent="0.2">
      <c r="A220" s="80" t="str">
        <f>'ORÇAMENTO DESONERADO'!B46</f>
        <v>6.2.1</v>
      </c>
      <c r="B220" s="575" t="str">
        <f>'ORÇAMENTO DESONERADO'!D46</f>
        <v>ESCAVAÇÃO MANUAL DE VALA COM PROFUNDIDADE MENOR OU IGUAL A 1,30 M. AF_02/2021</v>
      </c>
      <c r="C220" s="575"/>
      <c r="D220" s="575"/>
      <c r="E220" s="575"/>
      <c r="F220" s="575"/>
      <c r="G220" s="575"/>
      <c r="H220" s="575"/>
      <c r="I220" s="575"/>
      <c r="J220" s="575"/>
      <c r="K220" s="575"/>
      <c r="L220" s="305"/>
      <c r="M220" s="305"/>
      <c r="N220" s="305"/>
      <c r="O220" s="305"/>
    </row>
    <row r="221" spans="1:15" x14ac:dyDescent="0.2">
      <c r="A221" s="80"/>
      <c r="B221" s="81"/>
      <c r="C221" s="85"/>
      <c r="D221" s="77"/>
      <c r="E221" s="85"/>
      <c r="F221" s="85"/>
      <c r="G221" s="77"/>
      <c r="H221" s="85"/>
      <c r="I221" s="77"/>
      <c r="J221" s="85"/>
      <c r="K221" s="305"/>
      <c r="L221" s="305"/>
      <c r="M221" s="305"/>
      <c r="N221" s="305"/>
      <c r="O221" s="305"/>
    </row>
    <row r="222" spans="1:15" x14ac:dyDescent="0.2">
      <c r="A222" s="80"/>
      <c r="B222" s="167" t="s">
        <v>2</v>
      </c>
      <c r="C222" s="484" t="s">
        <v>382</v>
      </c>
      <c r="D222" s="84"/>
      <c r="E222" s="484" t="s">
        <v>4</v>
      </c>
      <c r="F222" s="486"/>
      <c r="G222" s="486" t="s">
        <v>385</v>
      </c>
      <c r="H222" s="486"/>
      <c r="I222" s="579" t="s">
        <v>45</v>
      </c>
      <c r="J222" s="579"/>
      <c r="K222" s="305"/>
      <c r="L222" s="305"/>
      <c r="M222" s="305"/>
      <c r="N222" s="305"/>
      <c r="O222" s="305"/>
    </row>
    <row r="223" spans="1:15" x14ac:dyDescent="0.2">
      <c r="A223" s="80"/>
      <c r="B223" s="126" t="str">
        <f>'DADOS DA OBRA'!B11:D11</f>
        <v>TRAVESSA LUIZ EDUARDO MAGALHÃES</v>
      </c>
      <c r="C223" s="128">
        <f>I178</f>
        <v>2740</v>
      </c>
      <c r="D223" s="484" t="s">
        <v>14</v>
      </c>
      <c r="E223" s="128">
        <v>0.1</v>
      </c>
      <c r="F223" s="486" t="s">
        <v>14</v>
      </c>
      <c r="G223" s="426">
        <v>0.15</v>
      </c>
      <c r="H223" s="481" t="s">
        <v>40</v>
      </c>
      <c r="I223" s="598">
        <f>ROUND((E223*G223*C223),2)</f>
        <v>41.1</v>
      </c>
      <c r="J223" s="598"/>
      <c r="K223" s="305"/>
      <c r="L223" s="305"/>
      <c r="M223" s="305"/>
      <c r="N223" s="305"/>
      <c r="O223" s="305"/>
    </row>
    <row r="224" spans="1:15" x14ac:dyDescent="0.2">
      <c r="A224" s="80"/>
      <c r="B224" s="126" t="str">
        <f>'DADOS DA OBRA'!B12:D12</f>
        <v>TRAVESSA ARTHUR BERNADEZ</v>
      </c>
      <c r="C224" s="128">
        <f>I187</f>
        <v>1164</v>
      </c>
      <c r="D224" s="484" t="s">
        <v>14</v>
      </c>
      <c r="E224" s="128">
        <v>0.1</v>
      </c>
      <c r="F224" s="486" t="s">
        <v>14</v>
      </c>
      <c r="G224" s="426">
        <v>0.15</v>
      </c>
      <c r="H224" s="481" t="s">
        <v>40</v>
      </c>
      <c r="I224" s="598">
        <f>ROUND((E224*G224*C224),2)</f>
        <v>17.46</v>
      </c>
      <c r="J224" s="598"/>
      <c r="K224" s="305"/>
      <c r="L224" s="305"/>
      <c r="M224" s="305"/>
      <c r="N224" s="305"/>
      <c r="O224" s="305"/>
    </row>
    <row r="225" spans="1:15" x14ac:dyDescent="0.2">
      <c r="A225" s="80"/>
      <c r="B225" s="127"/>
      <c r="C225" s="21"/>
      <c r="D225" s="89"/>
      <c r="E225" s="21"/>
      <c r="F225" s="89"/>
      <c r="G225" s="21"/>
      <c r="H225" s="85"/>
      <c r="I225" s="77"/>
      <c r="J225" s="85"/>
      <c r="K225" s="305"/>
      <c r="L225" s="305"/>
      <c r="M225" s="305"/>
      <c r="N225" s="305"/>
      <c r="O225" s="305"/>
    </row>
    <row r="226" spans="1:15" x14ac:dyDescent="0.2">
      <c r="A226" s="80"/>
      <c r="B226" s="91" t="s">
        <v>138</v>
      </c>
      <c r="C226" s="480">
        <f>SUM(I223:J224)</f>
        <v>58.56</v>
      </c>
      <c r="D226" s="129" t="s">
        <v>36</v>
      </c>
      <c r="E226" s="85"/>
      <c r="F226" s="85"/>
      <c r="G226" s="85"/>
      <c r="H226" s="85"/>
      <c r="I226" s="77"/>
      <c r="J226" s="85"/>
      <c r="K226" s="305"/>
      <c r="L226" s="305"/>
      <c r="M226" s="305"/>
      <c r="N226" s="305"/>
      <c r="O226" s="305"/>
    </row>
    <row r="227" spans="1:15" x14ac:dyDescent="0.2">
      <c r="A227" s="80"/>
      <c r="B227" s="81"/>
      <c r="C227" s="85"/>
      <c r="D227" s="77"/>
      <c r="E227" s="85"/>
      <c r="F227" s="85"/>
      <c r="G227" s="77"/>
      <c r="H227" s="85"/>
      <c r="I227" s="77"/>
      <c r="J227" s="85"/>
      <c r="K227" s="305"/>
      <c r="L227" s="305"/>
      <c r="M227" s="305"/>
      <c r="N227" s="305"/>
      <c r="O227" s="305"/>
    </row>
    <row r="228" spans="1:15" ht="30" customHeight="1" x14ac:dyDescent="0.2">
      <c r="A228" s="80" t="str">
        <f>'ORÇAMENTO DESONERADO'!B47</f>
        <v>6.2.2</v>
      </c>
      <c r="B228" s="575" t="str">
        <f>'ORÇAMENTO DESONERADO'!D47</f>
        <v>FABRICAÇÃO, MONTAGEM E DESMONTAGEM DE FÔRMA PARA VIGA BALDRAME, EM MADEIRA SERRADA, E=25 MM, 2 UTILIZAÇÕES. AF_06/2017</v>
      </c>
      <c r="C228" s="575"/>
      <c r="D228" s="575"/>
      <c r="E228" s="575"/>
      <c r="F228" s="575"/>
      <c r="G228" s="575"/>
      <c r="H228" s="575"/>
      <c r="I228" s="575"/>
      <c r="J228" s="575"/>
      <c r="K228" s="479"/>
      <c r="L228" s="305"/>
      <c r="M228" s="305"/>
      <c r="N228" s="305"/>
      <c r="O228" s="305"/>
    </row>
    <row r="229" spans="1:15" x14ac:dyDescent="0.2">
      <c r="A229" s="80"/>
      <c r="B229" s="81"/>
      <c r="C229" s="85"/>
      <c r="D229" s="77"/>
      <c r="E229" s="85"/>
      <c r="F229" s="85"/>
      <c r="G229" s="77"/>
      <c r="H229" s="85"/>
      <c r="I229" s="77"/>
      <c r="J229" s="85"/>
      <c r="K229" s="305"/>
      <c r="L229" s="305"/>
      <c r="M229" s="305"/>
      <c r="N229" s="305"/>
      <c r="O229" s="305"/>
    </row>
    <row r="230" spans="1:15" x14ac:dyDescent="0.2">
      <c r="A230" s="80"/>
      <c r="B230" s="167" t="s">
        <v>2</v>
      </c>
      <c r="C230" s="484" t="s">
        <v>382</v>
      </c>
      <c r="D230" s="84"/>
      <c r="E230" s="484" t="s">
        <v>4</v>
      </c>
      <c r="F230" s="486"/>
      <c r="G230" s="486" t="s">
        <v>386</v>
      </c>
      <c r="H230" s="486"/>
      <c r="I230" s="579" t="s">
        <v>5</v>
      </c>
      <c r="J230" s="579"/>
      <c r="K230" s="305"/>
      <c r="L230" s="305"/>
      <c r="M230" s="305"/>
      <c r="N230" s="305"/>
      <c r="O230" s="305"/>
    </row>
    <row r="231" spans="1:15" x14ac:dyDescent="0.2">
      <c r="A231" s="80"/>
      <c r="B231" s="126" t="str">
        <f>'DADOS DA OBRA'!B11:D11</f>
        <v>TRAVESSA LUIZ EDUARDO MAGALHÃES</v>
      </c>
      <c r="C231" s="128">
        <f>I178</f>
        <v>2740</v>
      </c>
      <c r="D231" s="484" t="s">
        <v>14</v>
      </c>
      <c r="E231" s="128">
        <v>0.2</v>
      </c>
      <c r="F231" s="486" t="s">
        <v>14</v>
      </c>
      <c r="G231" s="426">
        <v>2</v>
      </c>
      <c r="H231" s="481" t="s">
        <v>40</v>
      </c>
      <c r="I231" s="598">
        <f>ROUND((E231*G231*C231),2)</f>
        <v>1096</v>
      </c>
      <c r="J231" s="598"/>
      <c r="K231" s="305"/>
      <c r="L231" s="305"/>
      <c r="M231" s="305"/>
      <c r="N231" s="305"/>
      <c r="O231" s="305"/>
    </row>
    <row r="232" spans="1:15" x14ac:dyDescent="0.2">
      <c r="A232" s="80"/>
      <c r="B232" s="126" t="str">
        <f>'DADOS DA OBRA'!B20:D20</f>
        <v>BOTA FORA</v>
      </c>
      <c r="C232" s="128">
        <f>I179</f>
        <v>1164</v>
      </c>
      <c r="D232" s="484" t="s">
        <v>14</v>
      </c>
      <c r="E232" s="128">
        <v>0.2</v>
      </c>
      <c r="F232" s="486" t="s">
        <v>14</v>
      </c>
      <c r="G232" s="426">
        <v>2</v>
      </c>
      <c r="H232" s="481" t="s">
        <v>40</v>
      </c>
      <c r="I232" s="598">
        <f>ROUND((E232*G232*C232),2)</f>
        <v>465.6</v>
      </c>
      <c r="J232" s="598"/>
      <c r="K232" s="305"/>
      <c r="L232" s="305"/>
      <c r="M232" s="305"/>
      <c r="N232" s="305"/>
      <c r="O232" s="305"/>
    </row>
    <row r="233" spans="1:15" x14ac:dyDescent="0.2">
      <c r="A233" s="80"/>
      <c r="B233" s="495" t="str">
        <f>'DADOS DA OBRA'!B12:D12</f>
        <v>TRAVESSA ARTHUR BERNADEZ</v>
      </c>
      <c r="C233" s="499"/>
      <c r="D233" s="127"/>
      <c r="E233" s="499"/>
      <c r="F233" s="489"/>
      <c r="G233" s="402"/>
      <c r="H233" s="396"/>
      <c r="I233" s="375"/>
      <c r="J233" s="375"/>
      <c r="K233" s="305"/>
      <c r="L233" s="305"/>
      <c r="M233" s="305"/>
      <c r="N233" s="305"/>
      <c r="O233" s="305"/>
    </row>
    <row r="234" spans="1:15" ht="26.25" customHeight="1" x14ac:dyDescent="0.2">
      <c r="A234" s="80"/>
      <c r="B234" s="91" t="s">
        <v>138</v>
      </c>
      <c r="C234" s="480">
        <f>I231+I232</f>
        <v>1561.6</v>
      </c>
      <c r="D234" s="129" t="s">
        <v>329</v>
      </c>
      <c r="E234" s="85"/>
      <c r="F234" s="85"/>
      <c r="G234" s="85"/>
      <c r="H234" s="85"/>
      <c r="I234" s="77"/>
      <c r="J234" s="85"/>
      <c r="K234" s="305"/>
      <c r="L234" s="305"/>
      <c r="M234" s="305"/>
      <c r="N234" s="305"/>
      <c r="O234" s="305"/>
    </row>
    <row r="235" spans="1:15" x14ac:dyDescent="0.2">
      <c r="A235" s="80"/>
      <c r="B235" s="81"/>
      <c r="C235" s="85"/>
      <c r="D235" s="77"/>
      <c r="E235" s="85"/>
      <c r="F235" s="85"/>
      <c r="G235" s="77"/>
      <c r="H235" s="85"/>
      <c r="I235" s="77"/>
      <c r="J235" s="85"/>
      <c r="K235" s="305"/>
      <c r="L235" s="305"/>
      <c r="M235" s="305"/>
      <c r="N235" s="305"/>
      <c r="O235" s="305"/>
    </row>
    <row r="236" spans="1:15" ht="42" customHeight="1" x14ac:dyDescent="0.2">
      <c r="A236" s="80" t="str">
        <f>'ORÇAMENTO DESONERADO'!B48</f>
        <v>6.2.3</v>
      </c>
      <c r="B236" s="601" t="str">
        <f>'ORÇAMENTO DESONERADO'!D48</f>
        <v>CONCRETO FCK = 15MPA, TRAÇO 1:3,4:3,5 (EM MASSA SECA DE CIMENTO/ AREIA MÉDIA/ BRITA 1) - PREPARO MECÂNICO COM BETONEIRA 400 L. AF_05/2021</v>
      </c>
      <c r="C236" s="601"/>
      <c r="D236" s="601"/>
      <c r="E236" s="601"/>
      <c r="F236" s="601"/>
      <c r="G236" s="601"/>
      <c r="H236" s="601"/>
      <c r="I236" s="601"/>
      <c r="J236" s="601"/>
      <c r="K236" s="601"/>
      <c r="L236" s="305"/>
      <c r="M236" s="305"/>
      <c r="N236" s="305"/>
      <c r="O236" s="305"/>
    </row>
    <row r="237" spans="1:15" x14ac:dyDescent="0.2">
      <c r="A237" s="80"/>
      <c r="B237" s="81"/>
      <c r="C237" s="85"/>
      <c r="D237" s="77"/>
      <c r="E237" s="85"/>
      <c r="F237" s="85"/>
      <c r="G237" s="77"/>
      <c r="H237" s="85"/>
      <c r="I237" s="77"/>
      <c r="J237" s="85"/>
      <c r="K237" s="305"/>
      <c r="L237" s="305"/>
      <c r="M237" s="305"/>
      <c r="N237" s="305"/>
      <c r="O237" s="305"/>
    </row>
    <row r="238" spans="1:15" x14ac:dyDescent="0.2">
      <c r="A238" s="80"/>
      <c r="B238" s="167" t="s">
        <v>2</v>
      </c>
      <c r="C238" s="484" t="s">
        <v>382</v>
      </c>
      <c r="D238" s="84"/>
      <c r="E238" s="484" t="s">
        <v>4</v>
      </c>
      <c r="F238" s="486"/>
      <c r="G238" s="486" t="s">
        <v>385</v>
      </c>
      <c r="H238" s="486"/>
      <c r="I238" s="579" t="s">
        <v>45</v>
      </c>
      <c r="J238" s="579"/>
      <c r="K238" s="305"/>
      <c r="L238" s="336"/>
      <c r="M238" s="336"/>
      <c r="N238" s="336"/>
      <c r="O238" s="336"/>
    </row>
    <row r="239" spans="1:15" x14ac:dyDescent="0.2">
      <c r="A239" s="80"/>
      <c r="B239" s="126" t="str">
        <f>'DADOS DA OBRA'!B11:D11</f>
        <v>TRAVESSA LUIZ EDUARDO MAGALHÃES</v>
      </c>
      <c r="C239" s="128">
        <f>I178</f>
        <v>2740</v>
      </c>
      <c r="D239" s="484" t="s">
        <v>14</v>
      </c>
      <c r="E239" s="128">
        <v>0.1</v>
      </c>
      <c r="F239" s="486" t="s">
        <v>14</v>
      </c>
      <c r="G239" s="426">
        <v>0.3</v>
      </c>
      <c r="H239" s="481" t="s">
        <v>40</v>
      </c>
      <c r="I239" s="598">
        <f>ROUND((E239*G239*C239),2)</f>
        <v>82.2</v>
      </c>
      <c r="J239" s="598"/>
      <c r="K239" s="305"/>
    </row>
    <row r="240" spans="1:15" x14ac:dyDescent="0.2">
      <c r="A240" s="80"/>
      <c r="B240" s="126" t="str">
        <f>'DADOS DA OBRA'!B12:D12</f>
        <v>TRAVESSA ARTHUR BERNADEZ</v>
      </c>
      <c r="C240" s="128">
        <f>I187</f>
        <v>1164</v>
      </c>
      <c r="D240" s="484" t="s">
        <v>14</v>
      </c>
      <c r="E240" s="128">
        <v>0.1</v>
      </c>
      <c r="F240" s="486" t="s">
        <v>14</v>
      </c>
      <c r="G240" s="426">
        <v>0.3</v>
      </c>
      <c r="H240" s="481" t="s">
        <v>40</v>
      </c>
      <c r="I240" s="598">
        <f>ROUND((E240*G240*C240),2)</f>
        <v>34.92</v>
      </c>
      <c r="J240" s="598"/>
      <c r="K240" s="305"/>
    </row>
    <row r="241" spans="1:15" x14ac:dyDescent="0.2">
      <c r="A241" s="80"/>
      <c r="B241" s="127"/>
      <c r="C241" s="21"/>
      <c r="D241" s="89"/>
      <c r="E241" s="21"/>
      <c r="F241" s="89"/>
      <c r="G241" s="21"/>
      <c r="H241" s="85"/>
      <c r="I241" s="77"/>
      <c r="J241" s="85"/>
      <c r="K241" s="305"/>
    </row>
    <row r="242" spans="1:15" x14ac:dyDescent="0.2">
      <c r="A242" s="80"/>
      <c r="B242" s="91" t="s">
        <v>138</v>
      </c>
      <c r="C242" s="329">
        <f>I239</f>
        <v>82.2</v>
      </c>
      <c r="D242" s="129" t="s">
        <v>36</v>
      </c>
      <c r="E242" s="85"/>
      <c r="F242" s="85"/>
      <c r="G242" s="85"/>
      <c r="H242" s="85"/>
      <c r="I242" s="77"/>
      <c r="J242" s="85"/>
      <c r="K242" s="305"/>
    </row>
    <row r="243" spans="1:15" x14ac:dyDescent="0.2">
      <c r="A243" s="80"/>
      <c r="B243" s="81"/>
      <c r="C243" s="85"/>
      <c r="D243" s="77"/>
      <c r="E243" s="85"/>
      <c r="F243" s="85"/>
      <c r="G243" s="77"/>
      <c r="H243" s="85"/>
      <c r="I243" s="77"/>
      <c r="J243" s="85"/>
      <c r="K243" s="305"/>
    </row>
    <row r="244" spans="1:15" x14ac:dyDescent="0.2">
      <c r="A244" s="130"/>
      <c r="B244" s="130"/>
      <c r="C244" s="130"/>
      <c r="D244" s="130"/>
      <c r="E244" s="148"/>
      <c r="F244" s="130"/>
      <c r="G244" s="130"/>
      <c r="H244" s="408"/>
      <c r="I244" s="130"/>
      <c r="J244" s="130"/>
      <c r="K244" s="130"/>
    </row>
    <row r="245" spans="1:15" x14ac:dyDescent="0.2">
      <c r="A245" s="278">
        <f>'ORÇAMENTO DESONERADO'!B51</f>
        <v>7</v>
      </c>
      <c r="B245" s="589" t="str">
        <f>'ORÇAMENTO DESONERADO'!D51</f>
        <v>PAVIMENTAÇÃO</v>
      </c>
      <c r="C245" s="589"/>
      <c r="D245" s="589"/>
      <c r="E245" s="589"/>
      <c r="F245" s="589"/>
      <c r="G245" s="589"/>
      <c r="H245" s="589"/>
      <c r="I245" s="589"/>
      <c r="J245" s="589"/>
      <c r="K245" s="590"/>
    </row>
    <row r="246" spans="1:15" ht="17.25" customHeight="1" x14ac:dyDescent="0.2">
      <c r="A246" s="131" t="str">
        <f>'ORÇAMENTO DESONERADO'!B52</f>
        <v>7.1</v>
      </c>
      <c r="B246" s="132" t="str">
        <f>'ORÇAMENTO DESONERADO'!D52</f>
        <v>EXECUÇÃO DE IMPRIMAÇÃO DE BASE PARA PAVIMENTAÇÃO</v>
      </c>
      <c r="C246" s="133"/>
      <c r="D246" s="133"/>
      <c r="F246" s="133"/>
      <c r="G246" s="133"/>
      <c r="I246" s="133"/>
      <c r="J246" s="133"/>
      <c r="K246" s="133"/>
    </row>
    <row r="247" spans="1:15" x14ac:dyDescent="0.2">
      <c r="A247" s="131"/>
      <c r="B247" s="132"/>
      <c r="C247" s="133"/>
      <c r="D247" s="133"/>
      <c r="F247" s="133"/>
      <c r="G247" s="133"/>
      <c r="I247" s="133"/>
      <c r="J247" s="133"/>
      <c r="K247" s="134"/>
    </row>
    <row r="248" spans="1:15" x14ac:dyDescent="0.2">
      <c r="A248" s="123"/>
      <c r="B248" s="167" t="s">
        <v>2</v>
      </c>
      <c r="C248" s="326" t="s">
        <v>42</v>
      </c>
      <c r="D248" s="325"/>
      <c r="E248" s="364" t="s">
        <v>41</v>
      </c>
      <c r="F248" s="325"/>
      <c r="G248" s="324" t="s">
        <v>140</v>
      </c>
      <c r="H248" s="19"/>
      <c r="I248" s="135"/>
      <c r="J248" s="136"/>
      <c r="K248" s="46"/>
    </row>
    <row r="249" spans="1:15" x14ac:dyDescent="0.2">
      <c r="A249" s="17"/>
      <c r="B249" s="137" t="str">
        <f>B132</f>
        <v>TRAVESSA LUIZ EDUARDO MAGALHÃES</v>
      </c>
      <c r="C249" s="199">
        <f>'DADOS DA OBRA'!E11</f>
        <v>1400</v>
      </c>
      <c r="D249" s="325" t="s">
        <v>14</v>
      </c>
      <c r="E249" s="363">
        <f>'DADOS DA OBRA'!G11</f>
        <v>6</v>
      </c>
      <c r="F249" s="325" t="s">
        <v>40</v>
      </c>
      <c r="G249" s="138">
        <f>ROUND(C249*E249,2)</f>
        <v>8400</v>
      </c>
      <c r="H249" s="19"/>
      <c r="I249" s="135"/>
      <c r="J249" s="136"/>
      <c r="K249" s="46"/>
    </row>
    <row r="250" spans="1:15" x14ac:dyDescent="0.2">
      <c r="A250" s="123"/>
      <c r="B250" s="137" t="str">
        <f>B133</f>
        <v>TRAVESSA ARTHUR BERNADEZ</v>
      </c>
      <c r="C250" s="199">
        <f>'DADOS DA OBRA'!E12</f>
        <v>600</v>
      </c>
      <c r="D250" s="416" t="s">
        <v>14</v>
      </c>
      <c r="E250" s="482">
        <f>'DADOS DA OBRA'!G12</f>
        <v>6</v>
      </c>
      <c r="F250" s="416" t="s">
        <v>40</v>
      </c>
      <c r="G250" s="138">
        <f>ROUND(C250*E250,2)</f>
        <v>3600</v>
      </c>
      <c r="H250" s="19"/>
      <c r="I250" s="135"/>
      <c r="J250" s="136"/>
      <c r="K250" s="46"/>
    </row>
    <row r="251" spans="1:15" x14ac:dyDescent="0.2">
      <c r="A251" s="90"/>
      <c r="B251" s="127"/>
      <c r="C251" s="21"/>
      <c r="D251" s="89"/>
      <c r="E251" s="21"/>
      <c r="F251" s="89"/>
      <c r="G251" s="21"/>
      <c r="H251" s="85"/>
      <c r="I251" s="85"/>
      <c r="J251" s="124"/>
      <c r="K251" s="304"/>
    </row>
    <row r="252" spans="1:15" x14ac:dyDescent="0.2">
      <c r="A252" s="122"/>
      <c r="B252" s="135"/>
      <c r="C252" s="593" t="s">
        <v>9</v>
      </c>
      <c r="D252" s="594"/>
      <c r="E252" s="594"/>
      <c r="F252" s="213">
        <f>SUM(G249:G250)</f>
        <v>12000</v>
      </c>
      <c r="G252" s="214" t="s">
        <v>34</v>
      </c>
      <c r="H252" s="120"/>
      <c r="I252" s="121"/>
      <c r="J252" s="135"/>
      <c r="K252" s="136"/>
    </row>
    <row r="253" spans="1:15" x14ac:dyDescent="0.2">
      <c r="A253" s="131"/>
      <c r="B253" s="140"/>
      <c r="C253" s="133"/>
      <c r="D253" s="133"/>
      <c r="F253" s="133"/>
      <c r="G253" s="133"/>
      <c r="H253" s="396"/>
      <c r="I253" s="134"/>
      <c r="J253" s="134"/>
      <c r="K253" s="133"/>
    </row>
    <row r="254" spans="1:15" x14ac:dyDescent="0.2">
      <c r="A254" s="131" t="str">
        <f>'ORÇAMENTO DESONERADO'!B53</f>
        <v>7.2</v>
      </c>
      <c r="B254" s="132" t="str">
        <f>'ORÇAMENTO DESONERADO'!D53</f>
        <v>EXECUÇÃO DE PINTURA DE LIGAÇÃO COM EMULSÃO ASFÁLTICA RR-2C. AF_11/2019</v>
      </c>
      <c r="C254" s="133"/>
      <c r="D254" s="133"/>
      <c r="F254" s="133"/>
      <c r="G254" s="133"/>
      <c r="I254" s="133"/>
      <c r="J254" s="133"/>
      <c r="K254" s="133"/>
      <c r="L254" s="304"/>
      <c r="M254" s="304"/>
      <c r="N254" s="304"/>
      <c r="O254" s="304"/>
    </row>
    <row r="255" spans="1:15" x14ac:dyDescent="0.2">
      <c r="A255" s="131"/>
      <c r="B255" s="132"/>
      <c r="C255" s="133"/>
      <c r="D255" s="133"/>
      <c r="F255" s="133"/>
      <c r="G255" s="133"/>
      <c r="I255" s="133"/>
      <c r="J255" s="133"/>
      <c r="K255" s="133"/>
    </row>
    <row r="256" spans="1:15" x14ac:dyDescent="0.2">
      <c r="A256" s="123"/>
      <c r="B256" s="167" t="s">
        <v>2</v>
      </c>
      <c r="C256" s="326" t="s">
        <v>42</v>
      </c>
      <c r="D256" s="325"/>
      <c r="E256" s="364" t="s">
        <v>41</v>
      </c>
      <c r="F256" s="356" t="s">
        <v>183</v>
      </c>
      <c r="G256" s="356"/>
      <c r="H256" s="586" t="s">
        <v>44</v>
      </c>
      <c r="I256" s="586"/>
      <c r="J256" s="136"/>
      <c r="K256" s="46"/>
    </row>
    <row r="257" spans="1:11" x14ac:dyDescent="0.2">
      <c r="A257" s="17"/>
      <c r="B257" s="137" t="str">
        <f>B249</f>
        <v>TRAVESSA LUIZ EDUARDO MAGALHÃES</v>
      </c>
      <c r="C257" s="199">
        <f>C249</f>
        <v>1400</v>
      </c>
      <c r="D257" s="325" t="s">
        <v>14</v>
      </c>
      <c r="E257" s="363">
        <f>E249</f>
        <v>6</v>
      </c>
      <c r="F257" s="353">
        <v>0.1</v>
      </c>
      <c r="G257" s="356" t="s">
        <v>40</v>
      </c>
      <c r="H257" s="587">
        <f>ROUND(C257*(E257+F257),2)</f>
        <v>8540</v>
      </c>
      <c r="I257" s="588"/>
      <c r="J257" s="136"/>
      <c r="K257" s="46"/>
    </row>
    <row r="258" spans="1:11" x14ac:dyDescent="0.2">
      <c r="A258" s="123"/>
      <c r="B258" s="137" t="str">
        <f>B250</f>
        <v>TRAVESSA ARTHUR BERNADEZ</v>
      </c>
      <c r="C258" s="199">
        <f>C250</f>
        <v>600</v>
      </c>
      <c r="D258" s="416" t="s">
        <v>14</v>
      </c>
      <c r="E258" s="482">
        <f>E250</f>
        <v>6</v>
      </c>
      <c r="F258" s="426">
        <v>0.1</v>
      </c>
      <c r="G258" s="486" t="s">
        <v>40</v>
      </c>
      <c r="H258" s="587">
        <f>ROUND(C258*(E258+F258),2)</f>
        <v>3660</v>
      </c>
      <c r="I258" s="588"/>
      <c r="J258" s="136"/>
      <c r="K258" s="46"/>
    </row>
    <row r="259" spans="1:11" x14ac:dyDescent="0.2">
      <c r="A259" s="90"/>
      <c r="B259" s="127"/>
      <c r="C259" s="21"/>
      <c r="D259" s="89"/>
      <c r="E259" s="21"/>
      <c r="F259" s="89"/>
      <c r="G259" s="21"/>
      <c r="H259" s="85"/>
      <c r="I259" s="85"/>
      <c r="J259" s="124"/>
      <c r="K259" s="304"/>
    </row>
    <row r="260" spans="1:11" x14ac:dyDescent="0.2">
      <c r="A260" s="122"/>
      <c r="B260" s="135"/>
      <c r="C260" s="593" t="s">
        <v>9</v>
      </c>
      <c r="D260" s="594"/>
      <c r="E260" s="594"/>
      <c r="F260" s="213">
        <f>SUM(H257:I258)</f>
        <v>12200</v>
      </c>
      <c r="G260" s="214" t="s">
        <v>34</v>
      </c>
      <c r="H260" s="621"/>
      <c r="I260" s="622"/>
      <c r="J260" s="135"/>
      <c r="K260" s="136"/>
    </row>
    <row r="261" spans="1:11" x14ac:dyDescent="0.2">
      <c r="A261" s="122"/>
      <c r="B261" s="135"/>
      <c r="C261" s="135"/>
      <c r="D261" s="135"/>
      <c r="E261" s="139"/>
      <c r="F261" s="135"/>
      <c r="G261" s="135"/>
      <c r="H261" s="409"/>
      <c r="I261" s="135"/>
      <c r="J261" s="135"/>
      <c r="K261" s="136"/>
    </row>
    <row r="262" spans="1:11" x14ac:dyDescent="0.2">
      <c r="A262" s="361" t="s">
        <v>60</v>
      </c>
      <c r="B262" s="362" t="s">
        <v>204</v>
      </c>
      <c r="C262" s="133"/>
      <c r="D262" s="133"/>
      <c r="F262" s="133"/>
      <c r="G262" s="133"/>
      <c r="H262" s="413"/>
      <c r="I262" s="134"/>
      <c r="J262" s="134"/>
      <c r="K262" s="133"/>
    </row>
    <row r="263" spans="1:11" x14ac:dyDescent="0.2">
      <c r="A263" s="131"/>
      <c r="B263" s="140"/>
      <c r="C263" s="133"/>
      <c r="D263" s="133"/>
      <c r="F263" s="133"/>
      <c r="G263" s="133"/>
      <c r="H263" s="396"/>
      <c r="I263" s="134"/>
      <c r="J263" s="134"/>
      <c r="K263" s="133"/>
    </row>
    <row r="264" spans="1:11" ht="26.25" customHeight="1" x14ac:dyDescent="0.2">
      <c r="A264" s="131" t="str">
        <f>'ORÇAMENTO DESONERADO'!B54</f>
        <v>7.3</v>
      </c>
      <c r="B264" s="584" t="str">
        <f>'ORÇAMENTO DESONERADO'!D54</f>
        <v xml:space="preserve"> TRANSPORTE COM CAMINHÃO BASCULANTE DE 18 M³, EM VIA URBANA PAVIMENTADA, ADICIONAL PARA DMT EXCEDENTE A 30 KM (UNIDADE: M3XKM). AF_07/2020</v>
      </c>
      <c r="C264" s="584"/>
      <c r="D264" s="584"/>
      <c r="E264" s="584"/>
      <c r="F264" s="584"/>
      <c r="G264" s="584"/>
      <c r="H264" s="584"/>
      <c r="I264" s="584"/>
      <c r="J264" s="584"/>
      <c r="K264" s="584"/>
    </row>
    <row r="265" spans="1:11" x14ac:dyDescent="0.2">
      <c r="A265" s="131"/>
      <c r="B265" s="132"/>
      <c r="C265" s="133"/>
      <c r="D265" s="133"/>
      <c r="F265" s="133"/>
      <c r="G265" s="133"/>
      <c r="I265" s="133"/>
      <c r="J265" s="133"/>
      <c r="K265" s="133"/>
    </row>
    <row r="266" spans="1:11" x14ac:dyDescent="0.2">
      <c r="A266" s="131"/>
      <c r="B266" s="331"/>
      <c r="C266" s="331"/>
      <c r="D266" s="331"/>
      <c r="E266" s="145"/>
      <c r="F266" s="331"/>
      <c r="G266" s="331"/>
      <c r="H266" s="145"/>
      <c r="I266" s="331"/>
      <c r="J266" s="331"/>
      <c r="K266" s="133"/>
    </row>
    <row r="267" spans="1:11" x14ac:dyDescent="0.2">
      <c r="A267" s="131"/>
      <c r="B267" s="325" t="s">
        <v>2</v>
      </c>
      <c r="C267" s="326" t="s">
        <v>42</v>
      </c>
      <c r="D267" s="325"/>
      <c r="E267" s="364" t="s">
        <v>41</v>
      </c>
      <c r="F267" s="168"/>
      <c r="G267" s="355" t="s">
        <v>183</v>
      </c>
      <c r="H267" s="585" t="s">
        <v>43</v>
      </c>
      <c r="I267" s="585"/>
      <c r="J267" s="357"/>
      <c r="K267" s="358" t="s">
        <v>116</v>
      </c>
    </row>
    <row r="268" spans="1:11" x14ac:dyDescent="0.2">
      <c r="A268" s="131"/>
      <c r="B268" s="202" t="str">
        <f>B257</f>
        <v>TRAVESSA LUIZ EDUARDO MAGALHÃES</v>
      </c>
      <c r="C268" s="199">
        <f>C257</f>
        <v>1400</v>
      </c>
      <c r="D268" s="325" t="s">
        <v>14</v>
      </c>
      <c r="E268" s="363">
        <f>E257</f>
        <v>6</v>
      </c>
      <c r="F268" s="360" t="s">
        <v>184</v>
      </c>
      <c r="G268" s="353">
        <v>0.1</v>
      </c>
      <c r="H268" s="585">
        <v>3.5000000000000003E-2</v>
      </c>
      <c r="I268" s="585"/>
      <c r="J268" s="359" t="s">
        <v>40</v>
      </c>
      <c r="K268" s="354">
        <f>ROUND((C268*(E268+G268)*H268),2)</f>
        <v>298.89999999999998</v>
      </c>
    </row>
    <row r="269" spans="1:11" x14ac:dyDescent="0.2">
      <c r="A269" s="131"/>
      <c r="B269" s="202" t="str">
        <f>B258</f>
        <v>TRAVESSA ARTHUR BERNADEZ</v>
      </c>
      <c r="C269" s="199">
        <f>C258</f>
        <v>600</v>
      </c>
      <c r="D269" s="416" t="s">
        <v>14</v>
      </c>
      <c r="E269" s="482">
        <f>E258</f>
        <v>6</v>
      </c>
      <c r="F269" s="360" t="s">
        <v>184</v>
      </c>
      <c r="G269" s="426">
        <v>0.1</v>
      </c>
      <c r="H269" s="585">
        <v>3.5000000000000003E-2</v>
      </c>
      <c r="I269" s="585"/>
      <c r="J269" s="359" t="s">
        <v>40</v>
      </c>
      <c r="K269" s="488">
        <f>ROUND((C269*(E269+G269)*H269),2)</f>
        <v>128.1</v>
      </c>
    </row>
    <row r="270" spans="1:11" x14ac:dyDescent="0.2">
      <c r="A270" s="131"/>
      <c r="B270" s="143"/>
      <c r="C270" s="18"/>
      <c r="D270" s="19"/>
      <c r="E270" s="21"/>
      <c r="F270" s="19"/>
      <c r="G270" s="141"/>
      <c r="H270" s="19"/>
      <c r="I270" s="144"/>
      <c r="J270" s="142"/>
      <c r="K270" s="133"/>
    </row>
    <row r="271" spans="1:11" x14ac:dyDescent="0.2">
      <c r="A271" s="131"/>
      <c r="B271" s="331"/>
      <c r="C271" s="326" t="s">
        <v>116</v>
      </c>
      <c r="D271" s="325"/>
      <c r="E271" s="364" t="s">
        <v>117</v>
      </c>
      <c r="F271" s="325"/>
      <c r="G271" s="324" t="s">
        <v>37</v>
      </c>
      <c r="H271" s="145"/>
      <c r="I271" s="331"/>
      <c r="J271" s="133"/>
    </row>
    <row r="272" spans="1:11" x14ac:dyDescent="0.2">
      <c r="A272" s="131"/>
      <c r="C272" s="326">
        <f>SUM(K268:K269)</f>
        <v>427</v>
      </c>
      <c r="D272" s="325" t="s">
        <v>14</v>
      </c>
      <c r="E272" s="363">
        <v>10</v>
      </c>
      <c r="F272" s="325" t="s">
        <v>40</v>
      </c>
      <c r="G272" s="138">
        <f>ROUND(C272*E272,2)</f>
        <v>4270</v>
      </c>
      <c r="H272" s="145"/>
      <c r="I272" s="331"/>
      <c r="J272" s="133"/>
    </row>
    <row r="273" spans="1:15" x14ac:dyDescent="0.2">
      <c r="A273" s="131"/>
      <c r="B273" s="143"/>
      <c r="C273" s="143"/>
      <c r="D273" s="143"/>
      <c r="E273" s="401"/>
      <c r="F273" s="143"/>
      <c r="G273" s="145"/>
      <c r="H273" s="145"/>
      <c r="I273" s="145"/>
      <c r="J273" s="331"/>
      <c r="K273" s="133"/>
    </row>
    <row r="274" spans="1:15" x14ac:dyDescent="0.2">
      <c r="A274" s="131"/>
      <c r="B274" s="593" t="s">
        <v>9</v>
      </c>
      <c r="C274" s="594"/>
      <c r="D274" s="594"/>
      <c r="E274" s="213">
        <f>G272</f>
        <v>4270</v>
      </c>
      <c r="F274" s="215" t="s">
        <v>143</v>
      </c>
      <c r="G274" s="20"/>
      <c r="H274" s="20"/>
      <c r="I274" s="145"/>
      <c r="J274" s="145"/>
      <c r="K274" s="133"/>
    </row>
    <row r="275" spans="1:15" x14ac:dyDescent="0.2">
      <c r="A275" s="131"/>
      <c r="B275" s="132"/>
      <c r="C275" s="133"/>
      <c r="D275" s="133"/>
      <c r="F275" s="133"/>
      <c r="G275" s="133"/>
      <c r="I275" s="133"/>
      <c r="J275" s="133"/>
      <c r="K275" s="133"/>
      <c r="N275" s="361"/>
      <c r="O275" s="362"/>
    </row>
    <row r="276" spans="1:15" x14ac:dyDescent="0.2">
      <c r="A276" s="361" t="s">
        <v>60</v>
      </c>
      <c r="B276" s="362" t="s">
        <v>205</v>
      </c>
      <c r="C276" s="133"/>
      <c r="D276" s="133"/>
      <c r="F276" s="133"/>
      <c r="G276" s="133"/>
      <c r="H276" s="396"/>
      <c r="I276" s="134"/>
      <c r="J276" s="134"/>
      <c r="K276" s="133"/>
    </row>
    <row r="277" spans="1:15" x14ac:dyDescent="0.2">
      <c r="A277" s="131"/>
      <c r="B277" s="140"/>
      <c r="C277" s="133"/>
      <c r="D277" s="133"/>
      <c r="F277" s="133"/>
      <c r="G277" s="133"/>
      <c r="H277" s="396"/>
      <c r="I277" s="134"/>
      <c r="J277" s="134"/>
      <c r="K277" s="133"/>
    </row>
    <row r="278" spans="1:15" ht="25.5" customHeight="1" x14ac:dyDescent="0.2">
      <c r="A278" s="147" t="str">
        <f>'ORÇAMENTO DESONERADO'!B55</f>
        <v>7.4</v>
      </c>
      <c r="B278" s="584" t="str">
        <f>'ORÇAMENTO DESONERADO'!D55</f>
        <v>CONSTRUÇÃO DE PAVIMENTO COM APLICAÇÃO DE CONCRETO BETUMINOSO USINADO A QUENTE (CBUQ), CAMADA DE ROLAMENTO, COM ESPESSURA DE 3,5 CM - EXCLUSIVE TRANSPORTE. AF_03/2017</v>
      </c>
      <c r="C278" s="584"/>
      <c r="D278" s="584"/>
      <c r="E278" s="584"/>
      <c r="F278" s="584"/>
      <c r="G278" s="584"/>
      <c r="H278" s="584"/>
      <c r="I278" s="584"/>
      <c r="J278" s="584"/>
      <c r="K278" s="584"/>
    </row>
    <row r="279" spans="1:15" x14ac:dyDescent="0.2">
      <c r="A279" s="131"/>
      <c r="B279" s="132"/>
      <c r="C279" s="133"/>
      <c r="D279" s="133"/>
      <c r="F279" s="133"/>
      <c r="G279" s="133"/>
      <c r="I279" s="133"/>
      <c r="J279" s="133"/>
      <c r="K279" s="133"/>
    </row>
    <row r="280" spans="1:15" x14ac:dyDescent="0.2">
      <c r="A280" s="131"/>
      <c r="B280" s="325" t="str">
        <f>B256</f>
        <v>Rua</v>
      </c>
      <c r="C280" s="326" t="s">
        <v>42</v>
      </c>
      <c r="D280" s="325"/>
      <c r="E280" s="364" t="s">
        <v>41</v>
      </c>
      <c r="F280" s="168" t="s">
        <v>183</v>
      </c>
      <c r="G280" s="168" t="s">
        <v>43</v>
      </c>
      <c r="H280" s="371"/>
      <c r="I280" s="591" t="s">
        <v>116</v>
      </c>
      <c r="J280" s="592"/>
      <c r="K280" s="133"/>
    </row>
    <row r="281" spans="1:15" x14ac:dyDescent="0.2">
      <c r="A281" s="131"/>
      <c r="B281" s="137" t="str">
        <f>B257</f>
        <v>TRAVESSA LUIZ EDUARDO MAGALHÃES</v>
      </c>
      <c r="C281" s="199">
        <f>C257</f>
        <v>1400</v>
      </c>
      <c r="D281" s="325" t="s">
        <v>14</v>
      </c>
      <c r="E281" s="363">
        <f>E257</f>
        <v>6</v>
      </c>
      <c r="F281" s="353">
        <v>0.1</v>
      </c>
      <c r="G281" s="168">
        <v>3.5000000000000003E-2</v>
      </c>
      <c r="H281" s="371" t="s">
        <v>40</v>
      </c>
      <c r="I281" s="587">
        <f>ROUND((C281*(E281+F281)*G281),2)</f>
        <v>298.89999999999998</v>
      </c>
      <c r="J281" s="588"/>
      <c r="K281" s="133"/>
    </row>
    <row r="282" spans="1:15" x14ac:dyDescent="0.2">
      <c r="A282" s="131"/>
      <c r="B282" s="137" t="str">
        <f>B258</f>
        <v>TRAVESSA ARTHUR BERNADEZ</v>
      </c>
      <c r="C282" s="199">
        <f>C258</f>
        <v>600</v>
      </c>
      <c r="D282" s="416" t="s">
        <v>14</v>
      </c>
      <c r="E282" s="482">
        <f>E258</f>
        <v>6</v>
      </c>
      <c r="F282" s="426">
        <v>0.1</v>
      </c>
      <c r="G282" s="487">
        <v>3.5000000000000003E-2</v>
      </c>
      <c r="H282" s="486" t="s">
        <v>40</v>
      </c>
      <c r="I282" s="587">
        <f>ROUND((C282*(E282+F282)*G282),2)</f>
        <v>128.1</v>
      </c>
      <c r="J282" s="588"/>
      <c r="K282" s="133"/>
    </row>
    <row r="283" spans="1:15" x14ac:dyDescent="0.2">
      <c r="A283" s="131"/>
      <c r="B283" s="132"/>
      <c r="C283" s="133"/>
      <c r="D283" s="133"/>
      <c r="F283" s="133"/>
      <c r="G283" s="133"/>
      <c r="I283" s="133"/>
      <c r="J283" s="133"/>
      <c r="K283" s="133"/>
    </row>
    <row r="284" spans="1:15" x14ac:dyDescent="0.2">
      <c r="A284" s="131"/>
      <c r="B284" s="367" t="s">
        <v>9</v>
      </c>
      <c r="C284" s="213">
        <f>SUM(I281:J282)</f>
        <v>427</v>
      </c>
      <c r="D284" s="214" t="s">
        <v>36</v>
      </c>
      <c r="E284" s="133"/>
      <c r="F284" s="194"/>
      <c r="G284" s="133"/>
      <c r="H284" s="133"/>
      <c r="I284" s="133"/>
      <c r="J284" s="46"/>
      <c r="K284" s="46"/>
    </row>
    <row r="285" spans="1:15" x14ac:dyDescent="0.2">
      <c r="A285" s="131"/>
      <c r="B285" s="132"/>
      <c r="C285" s="133"/>
      <c r="D285" s="133"/>
      <c r="F285" s="133"/>
      <c r="G285" s="133"/>
      <c r="I285" s="133"/>
      <c r="J285" s="133"/>
      <c r="K285" s="133"/>
    </row>
    <row r="286" spans="1:15" x14ac:dyDescent="0.2">
      <c r="A286" s="361" t="s">
        <v>60</v>
      </c>
      <c r="B286" s="362" t="s">
        <v>185</v>
      </c>
      <c r="C286" s="133"/>
      <c r="D286" s="133"/>
      <c r="F286" s="133"/>
      <c r="G286" s="133"/>
      <c r="H286" s="396"/>
      <c r="I286" s="134"/>
      <c r="J286" s="134"/>
      <c r="K286" s="133"/>
    </row>
    <row r="287" spans="1:15" x14ac:dyDescent="0.2">
      <c r="A287" s="131"/>
      <c r="B287" s="140"/>
      <c r="C287" s="133"/>
      <c r="D287" s="133"/>
      <c r="F287" s="133"/>
      <c r="G287" s="133"/>
      <c r="H287" s="396"/>
      <c r="I287" s="134"/>
      <c r="J287" s="134"/>
      <c r="K287" s="133"/>
    </row>
    <row r="288" spans="1:15" x14ac:dyDescent="0.2">
      <c r="A288" s="278">
        <f>'ORÇAMENTO DESONERADO'!B58</f>
        <v>7</v>
      </c>
      <c r="B288" s="589" t="str">
        <f>'ORÇAMENTO DESONERADO'!D78</f>
        <v>SINALIZAÇÃO VIÁRIA</v>
      </c>
      <c r="C288" s="589"/>
      <c r="D288" s="589"/>
      <c r="E288" s="589"/>
      <c r="F288" s="589"/>
      <c r="G288" s="589"/>
      <c r="H288" s="589"/>
      <c r="I288" s="589"/>
      <c r="J288" s="589"/>
      <c r="K288" s="590"/>
    </row>
    <row r="289" spans="1:11" x14ac:dyDescent="0.2">
      <c r="A289" s="131"/>
      <c r="B289" s="140"/>
      <c r="C289" s="133"/>
      <c r="D289" s="133"/>
      <c r="F289" s="133"/>
      <c r="G289" s="133"/>
      <c r="I289" s="134"/>
      <c r="J289" s="134"/>
      <c r="K289" s="134"/>
    </row>
    <row r="290" spans="1:11" ht="27.75" customHeight="1" x14ac:dyDescent="0.2">
      <c r="A290" s="151" t="str">
        <f>'ORÇAMENTO DESONERADO'!B59</f>
        <v>7.1</v>
      </c>
      <c r="B290" s="584" t="str">
        <f>'ORÇAMENTO DESONERADO'!D79</f>
        <v>PINTURA DE EIXO VIÁRIO SOBRE ASFALTO COM TINTA RETRORREFLETIVA A BASE DE RESINA ACRÍLICA COM MICROESFERAS DE VIDRO, APLICAÇÃO MECÂNICA COM DEMARCADORA AUTOPROPELIDA. AF_05/2021</v>
      </c>
      <c r="C290" s="584"/>
      <c r="D290" s="584"/>
      <c r="E290" s="584"/>
      <c r="F290" s="584"/>
      <c r="G290" s="584"/>
      <c r="H290" s="584"/>
      <c r="I290" s="584"/>
      <c r="J290" s="584"/>
      <c r="K290" s="584"/>
    </row>
    <row r="291" spans="1:11" x14ac:dyDescent="0.2">
      <c r="A291" s="131"/>
      <c r="B291" s="140"/>
      <c r="C291" s="133"/>
      <c r="D291" s="133"/>
      <c r="F291" s="133"/>
      <c r="G291" s="133"/>
      <c r="H291" s="396"/>
      <c r="I291" s="134"/>
      <c r="J291" s="134"/>
      <c r="K291" s="133"/>
    </row>
    <row r="292" spans="1:11" x14ac:dyDescent="0.2">
      <c r="A292" s="131"/>
      <c r="B292" s="167" t="s">
        <v>2</v>
      </c>
      <c r="C292" s="414" t="s">
        <v>42</v>
      </c>
      <c r="D292" s="416"/>
      <c r="E292" s="415" t="s">
        <v>6</v>
      </c>
      <c r="F292" s="134"/>
      <c r="G292" s="134"/>
      <c r="H292" s="134"/>
      <c r="I292" s="46"/>
      <c r="J292" s="46"/>
      <c r="K292" s="46"/>
    </row>
    <row r="293" spans="1:11" x14ac:dyDescent="0.2">
      <c r="A293" s="131"/>
      <c r="B293" s="137" t="str">
        <f>B281</f>
        <v>TRAVESSA LUIZ EDUARDO MAGALHÃES</v>
      </c>
      <c r="C293" s="199">
        <f>'DADOS DA OBRA'!E11</f>
        <v>1400</v>
      </c>
      <c r="D293" s="416" t="s">
        <v>40</v>
      </c>
      <c r="E293" s="138">
        <f>C293</f>
        <v>1400</v>
      </c>
      <c r="F293" s="134"/>
      <c r="G293" s="134"/>
      <c r="H293" s="134"/>
      <c r="I293" s="46"/>
      <c r="J293" s="46"/>
      <c r="K293" s="46"/>
    </row>
    <row r="294" spans="1:11" x14ac:dyDescent="0.2">
      <c r="A294" s="131"/>
      <c r="B294" s="137" t="str">
        <f>B282</f>
        <v>TRAVESSA ARTHUR BERNADEZ</v>
      </c>
      <c r="C294" s="199">
        <f>'DADOS DA OBRA'!E12</f>
        <v>600</v>
      </c>
      <c r="D294" s="416" t="s">
        <v>40</v>
      </c>
      <c r="E294" s="138">
        <f>C294</f>
        <v>600</v>
      </c>
      <c r="F294" s="134"/>
      <c r="G294" s="134"/>
      <c r="H294" s="134"/>
      <c r="I294" s="46"/>
      <c r="J294" s="46"/>
      <c r="K294" s="46"/>
    </row>
    <row r="295" spans="1:11" x14ac:dyDescent="0.2">
      <c r="A295" s="131"/>
      <c r="B295" s="500"/>
      <c r="C295" s="501"/>
      <c r="D295" s="502"/>
      <c r="E295" s="21"/>
      <c r="F295" s="19"/>
      <c r="G295" s="144"/>
      <c r="H295" s="134"/>
      <c r="I295" s="134"/>
      <c r="J295" s="134"/>
      <c r="K295" s="46"/>
    </row>
    <row r="296" spans="1:11" x14ac:dyDescent="0.2">
      <c r="A296" s="131"/>
      <c r="B296" s="406" t="s">
        <v>9</v>
      </c>
      <c r="C296" s="213">
        <f>E293+E294</f>
        <v>2000</v>
      </c>
      <c r="D296" s="214" t="s">
        <v>34</v>
      </c>
      <c r="E296" s="133"/>
      <c r="F296" s="134"/>
      <c r="G296" s="134"/>
      <c r="H296" s="396"/>
      <c r="I296" s="134"/>
      <c r="J296" s="133"/>
      <c r="K296" s="46"/>
    </row>
    <row r="297" spans="1:11" x14ac:dyDescent="0.2">
      <c r="A297" s="131"/>
      <c r="B297" s="140"/>
      <c r="C297" s="133"/>
      <c r="D297" s="133"/>
      <c r="F297" s="133"/>
      <c r="G297" s="133"/>
      <c r="I297" s="134"/>
      <c r="J297" s="134"/>
      <c r="K297" s="134"/>
    </row>
  </sheetData>
  <mergeCells count="149">
    <mergeCell ref="I232:J232"/>
    <mergeCell ref="I240:J240"/>
    <mergeCell ref="H258:I258"/>
    <mergeCell ref="H269:I269"/>
    <mergeCell ref="I282:J282"/>
    <mergeCell ref="C260:E260"/>
    <mergeCell ref="B245:K245"/>
    <mergeCell ref="C252:E252"/>
    <mergeCell ref="B210:K210"/>
    <mergeCell ref="B236:K236"/>
    <mergeCell ref="B218:K218"/>
    <mergeCell ref="B220:K220"/>
    <mergeCell ref="I222:J222"/>
    <mergeCell ref="I223:J223"/>
    <mergeCell ref="B212:D212"/>
    <mergeCell ref="I230:J230"/>
    <mergeCell ref="I231:J231"/>
    <mergeCell ref="B228:J228"/>
    <mergeCell ref="I224:J224"/>
    <mergeCell ref="H260:I260"/>
    <mergeCell ref="I238:J238"/>
    <mergeCell ref="I239:J239"/>
    <mergeCell ref="B214:D214"/>
    <mergeCell ref="I212:J212"/>
    <mergeCell ref="I213:J213"/>
    <mergeCell ref="I214:J214"/>
    <mergeCell ref="B199:K199"/>
    <mergeCell ref="B213:D213"/>
    <mergeCell ref="G208:H208"/>
    <mergeCell ref="B200:K200"/>
    <mergeCell ref="B202:K202"/>
    <mergeCell ref="A1:K1"/>
    <mergeCell ref="A2:K2"/>
    <mergeCell ref="A3:K3"/>
    <mergeCell ref="A4:K4"/>
    <mergeCell ref="B69:K69"/>
    <mergeCell ref="B78:K78"/>
    <mergeCell ref="B50:B51"/>
    <mergeCell ref="B132:D132"/>
    <mergeCell ref="E130:G130"/>
    <mergeCell ref="E131:F131"/>
    <mergeCell ref="E132:F132"/>
    <mergeCell ref="I130:J130"/>
    <mergeCell ref="I131:J131"/>
    <mergeCell ref="I132:J132"/>
    <mergeCell ref="B128:K128"/>
    <mergeCell ref="B126:K126"/>
    <mergeCell ref="B129:K129"/>
    <mergeCell ref="B130:D131"/>
    <mergeCell ref="B149:C149"/>
    <mergeCell ref="B150:C150"/>
    <mergeCell ref="B151:C151"/>
    <mergeCell ref="J178:K179"/>
    <mergeCell ref="B165:D165"/>
    <mergeCell ref="G181:H181"/>
    <mergeCell ref="B139:K139"/>
    <mergeCell ref="D31:E31"/>
    <mergeCell ref="B33:B34"/>
    <mergeCell ref="B6:K6"/>
    <mergeCell ref="B7:K7"/>
    <mergeCell ref="B28:K28"/>
    <mergeCell ref="B117:K117"/>
    <mergeCell ref="D50:E50"/>
    <mergeCell ref="D51:E51"/>
    <mergeCell ref="B64:B65"/>
    <mergeCell ref="D64:E64"/>
    <mergeCell ref="D65:E65"/>
    <mergeCell ref="B108:K108"/>
    <mergeCell ref="B30:B32"/>
    <mergeCell ref="D32:E32"/>
    <mergeCell ref="D41:E41"/>
    <mergeCell ref="C43:C44"/>
    <mergeCell ref="B92:K92"/>
    <mergeCell ref="B99:K99"/>
    <mergeCell ref="B62:K62"/>
    <mergeCell ref="P157:Y157"/>
    <mergeCell ref="I164:J164"/>
    <mergeCell ref="B147:K147"/>
    <mergeCell ref="B55:K55"/>
    <mergeCell ref="B57:B58"/>
    <mergeCell ref="D57:E57"/>
    <mergeCell ref="D58:E58"/>
    <mergeCell ref="B157:D157"/>
    <mergeCell ref="B163:K163"/>
    <mergeCell ref="B158:D158"/>
    <mergeCell ref="B164:D164"/>
    <mergeCell ref="B133:D133"/>
    <mergeCell ref="E133:F133"/>
    <mergeCell ref="I133:J133"/>
    <mergeCell ref="B143:D143"/>
    <mergeCell ref="I143:J143"/>
    <mergeCell ref="B159:D159"/>
    <mergeCell ref="B155:K155"/>
    <mergeCell ref="B141:D141"/>
    <mergeCell ref="B142:D142"/>
    <mergeCell ref="F106:G106"/>
    <mergeCell ref="I141:J141"/>
    <mergeCell ref="I142:J142"/>
    <mergeCell ref="B127:K127"/>
    <mergeCell ref="B173:K173"/>
    <mergeCell ref="B175:K175"/>
    <mergeCell ref="B177:D177"/>
    <mergeCell ref="I165:J165"/>
    <mergeCell ref="B166:D166"/>
    <mergeCell ref="I166:J166"/>
    <mergeCell ref="B179:D179"/>
    <mergeCell ref="B185:D185"/>
    <mergeCell ref="B178:D178"/>
    <mergeCell ref="B187:D187"/>
    <mergeCell ref="B193:D193"/>
    <mergeCell ref="B194:D194"/>
    <mergeCell ref="B195:D195"/>
    <mergeCell ref="J186:K187"/>
    <mergeCell ref="B206:D206"/>
    <mergeCell ref="B290:K290"/>
    <mergeCell ref="H267:I267"/>
    <mergeCell ref="H268:I268"/>
    <mergeCell ref="H256:I256"/>
    <mergeCell ref="H257:I257"/>
    <mergeCell ref="B288:K288"/>
    <mergeCell ref="I281:J281"/>
    <mergeCell ref="I280:J280"/>
    <mergeCell ref="B278:K278"/>
    <mergeCell ref="B274:D274"/>
    <mergeCell ref="B264:K264"/>
    <mergeCell ref="B186:D186"/>
    <mergeCell ref="J204:K204"/>
    <mergeCell ref="J205:K205"/>
    <mergeCell ref="J206:K206"/>
    <mergeCell ref="B204:D204"/>
    <mergeCell ref="B205:D205"/>
    <mergeCell ref="B191:K191"/>
    <mergeCell ref="M8:N8"/>
    <mergeCell ref="D33:E33"/>
    <mergeCell ref="D34:E34"/>
    <mergeCell ref="B18:K18"/>
    <mergeCell ref="D13:E13"/>
    <mergeCell ref="D14:E14"/>
    <mergeCell ref="D23:E23"/>
    <mergeCell ref="B38:K38"/>
    <mergeCell ref="B48:K48"/>
    <mergeCell ref="B40:B42"/>
    <mergeCell ref="D40:E40"/>
    <mergeCell ref="D42:E42"/>
    <mergeCell ref="B43:B44"/>
    <mergeCell ref="D43:E43"/>
    <mergeCell ref="D44:E44"/>
    <mergeCell ref="D30:E30"/>
    <mergeCell ref="D24:E24"/>
  </mergeCells>
  <pageMargins left="0.51181102362204722" right="0.51181102362204722" top="0.78740157480314965" bottom="0.78740157480314965" header="0.31496062992125984" footer="0.31496062992125984"/>
  <pageSetup paperSize="9" scale="77" orientation="landscape" verticalDpi="360" r:id="rId1"/>
  <rowBreaks count="2" manualBreakCount="2">
    <brk id="198" max="10" man="1"/>
    <brk id="23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2"/>
  <sheetViews>
    <sheetView view="pageBreakPreview" zoomScale="55" zoomScaleNormal="100" zoomScaleSheetLayoutView="55" workbookViewId="0">
      <selection sqref="A1:I1"/>
    </sheetView>
  </sheetViews>
  <sheetFormatPr defaultRowHeight="15" x14ac:dyDescent="0.25"/>
  <cols>
    <col min="1" max="1" width="9.140625" style="244"/>
  </cols>
  <sheetData>
    <row r="1" spans="1:11" s="244" customFormat="1" x14ac:dyDescent="0.25">
      <c r="A1" s="552"/>
      <c r="B1" s="552"/>
      <c r="C1" s="552"/>
      <c r="D1" s="552"/>
      <c r="E1" s="552"/>
      <c r="F1" s="552"/>
      <c r="G1" s="552"/>
      <c r="H1" s="552"/>
      <c r="I1" s="552"/>
      <c r="J1" s="309"/>
      <c r="K1" s="309"/>
    </row>
    <row r="2" spans="1:11" s="244" customFormat="1" x14ac:dyDescent="0.25">
      <c r="A2" s="552"/>
      <c r="B2" s="552"/>
      <c r="C2" s="552"/>
      <c r="D2" s="552"/>
      <c r="E2" s="552"/>
      <c r="F2" s="552"/>
      <c r="G2" s="552"/>
      <c r="H2" s="552"/>
      <c r="I2" s="552"/>
      <c r="J2" s="309"/>
      <c r="K2" s="309"/>
    </row>
    <row r="3" spans="1:11" s="244" customFormat="1" x14ac:dyDescent="0.25">
      <c r="A3" s="552"/>
      <c r="B3" s="552"/>
      <c r="C3" s="552"/>
      <c r="D3" s="552"/>
      <c r="E3" s="552"/>
      <c r="F3" s="552"/>
      <c r="G3" s="552"/>
      <c r="H3" s="552"/>
      <c r="I3" s="552"/>
      <c r="J3" s="309"/>
      <c r="K3" s="309"/>
    </row>
    <row r="4" spans="1:11" s="244" customFormat="1" ht="27.75" customHeight="1" x14ac:dyDescent="0.25">
      <c r="A4" s="557" t="str">
        <f>'ORÇAMENTO DESONERADO'!A5:I5</f>
        <v>EXECUÇÃO DOS SERVIÇOS DE DRENAGEM SUPERFICIAL E PAVIMENTAÇÃO ASFÁLTICA DE VIAS EM GARRAFÃO DO NORTE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</row>
    <row r="5" spans="1:11" ht="15.75" thickBot="1" x14ac:dyDescent="0.3">
      <c r="B5" s="46"/>
      <c r="C5" s="46"/>
      <c r="D5" s="46"/>
      <c r="E5" s="46"/>
      <c r="F5" s="46"/>
      <c r="G5" s="46"/>
      <c r="H5" s="46"/>
      <c r="I5" s="46"/>
      <c r="J5" s="46"/>
    </row>
    <row r="6" spans="1:11" ht="15.75" thickBot="1" x14ac:dyDescent="0.3">
      <c r="B6" s="634" t="s">
        <v>122</v>
      </c>
      <c r="C6" s="635"/>
      <c r="D6" s="635"/>
      <c r="E6" s="635"/>
      <c r="F6" s="635"/>
      <c r="G6" s="635"/>
      <c r="H6" s="635"/>
      <c r="I6" s="635"/>
      <c r="J6" s="636"/>
    </row>
    <row r="7" spans="1:11" ht="15.75" thickBot="1" x14ac:dyDescent="0.3">
      <c r="B7" s="46"/>
      <c r="C7" s="46"/>
      <c r="D7" s="46"/>
      <c r="E7" s="46"/>
      <c r="F7" s="46"/>
      <c r="G7" s="46"/>
      <c r="H7" s="46"/>
      <c r="I7" s="46"/>
      <c r="J7" s="46"/>
    </row>
    <row r="8" spans="1:11" ht="15.75" thickBot="1" x14ac:dyDescent="0.3">
      <c r="B8" s="29" t="s">
        <v>63</v>
      </c>
      <c r="C8" s="107" t="s">
        <v>115</v>
      </c>
      <c r="D8" s="108"/>
      <c r="E8" s="108"/>
      <c r="F8" s="108"/>
      <c r="G8" s="108"/>
      <c r="H8" s="108"/>
      <c r="I8" s="108"/>
      <c r="J8" s="109"/>
    </row>
    <row r="9" spans="1:11" x14ac:dyDescent="0.25">
      <c r="B9" s="31">
        <v>1</v>
      </c>
      <c r="C9" s="32" t="s">
        <v>64</v>
      </c>
      <c r="D9" s="30"/>
      <c r="E9" s="30"/>
      <c r="F9" s="30"/>
      <c r="G9" s="30"/>
      <c r="H9" s="30"/>
      <c r="I9" s="33"/>
      <c r="J9" s="316">
        <v>3.7999999999999999E-2</v>
      </c>
    </row>
    <row r="10" spans="1:11" x14ac:dyDescent="0.25">
      <c r="B10" s="31">
        <v>2</v>
      </c>
      <c r="C10" s="32" t="s">
        <v>65</v>
      </c>
      <c r="D10" s="30"/>
      <c r="E10" s="30"/>
      <c r="F10" s="30"/>
      <c r="G10" s="30"/>
      <c r="H10" s="30"/>
      <c r="I10" s="30"/>
      <c r="J10" s="316">
        <v>3.2000000000000002E-3</v>
      </c>
    </row>
    <row r="11" spans="1:11" x14ac:dyDescent="0.25">
      <c r="B11" s="31">
        <v>3</v>
      </c>
      <c r="C11" s="32" t="s">
        <v>66</v>
      </c>
      <c r="D11" s="30"/>
      <c r="E11" s="30"/>
      <c r="F11" s="30"/>
      <c r="G11" s="30"/>
      <c r="H11" s="30"/>
      <c r="I11" s="33"/>
      <c r="J11" s="316">
        <v>5.0000000000000001E-3</v>
      </c>
    </row>
    <row r="12" spans="1:11" x14ac:dyDescent="0.25">
      <c r="B12" s="31">
        <v>4</v>
      </c>
      <c r="C12" s="32" t="s">
        <v>67</v>
      </c>
      <c r="D12" s="30"/>
      <c r="E12" s="30"/>
      <c r="F12" s="30"/>
      <c r="G12" s="30"/>
      <c r="H12" s="30"/>
      <c r="I12" s="33"/>
      <c r="J12" s="316">
        <v>1.0200000000000001E-2</v>
      </c>
    </row>
    <row r="13" spans="1:11" ht="15.75" thickBot="1" x14ac:dyDescent="0.3">
      <c r="B13" s="31">
        <v>5</v>
      </c>
      <c r="C13" s="32" t="s">
        <v>68</v>
      </c>
      <c r="D13" s="30"/>
      <c r="E13" s="30"/>
      <c r="F13" s="30"/>
      <c r="G13" s="30"/>
      <c r="H13" s="30"/>
      <c r="I13" s="33"/>
      <c r="J13" s="316">
        <v>6.6400000000000001E-2</v>
      </c>
    </row>
    <row r="14" spans="1:11" ht="15.75" thickBot="1" x14ac:dyDescent="0.3">
      <c r="B14" s="34">
        <v>6</v>
      </c>
      <c r="C14" s="35" t="s">
        <v>69</v>
      </c>
      <c r="D14" s="36"/>
      <c r="E14" s="36"/>
      <c r="F14" s="36"/>
      <c r="G14" s="36"/>
      <c r="H14" s="36"/>
      <c r="I14" s="37"/>
      <c r="J14" s="317">
        <f>J21</f>
        <v>0.1065</v>
      </c>
    </row>
    <row r="15" spans="1:11" ht="15.75" thickBot="1" x14ac:dyDescent="0.3">
      <c r="B15" s="113"/>
      <c r="C15" s="114"/>
      <c r="D15" s="114"/>
      <c r="E15" s="114"/>
      <c r="F15" s="114"/>
      <c r="G15" s="114"/>
      <c r="H15" s="114"/>
      <c r="I15" s="114"/>
      <c r="J15" s="321"/>
    </row>
    <row r="16" spans="1:11" ht="15.75" thickBot="1" x14ac:dyDescent="0.3">
      <c r="B16" s="111" t="s">
        <v>63</v>
      </c>
      <c r="C16" s="112" t="s">
        <v>70</v>
      </c>
      <c r="D16" s="108"/>
      <c r="E16" s="108"/>
      <c r="F16" s="108"/>
      <c r="G16" s="108"/>
      <c r="H16" s="108"/>
      <c r="I16" s="108"/>
      <c r="J16" s="320"/>
    </row>
    <row r="17" spans="2:11" x14ac:dyDescent="0.25">
      <c r="B17" s="38" t="s">
        <v>55</v>
      </c>
      <c r="C17" s="110" t="s">
        <v>71</v>
      </c>
      <c r="D17" s="30"/>
      <c r="E17" s="30"/>
      <c r="F17" s="30"/>
      <c r="G17" s="30"/>
      <c r="H17" s="30"/>
      <c r="I17" s="30"/>
      <c r="J17" s="319">
        <v>2.5000000000000001E-2</v>
      </c>
      <c r="K17" s="217"/>
    </row>
    <row r="18" spans="2:11" x14ac:dyDescent="0.25">
      <c r="B18" s="38" t="s">
        <v>56</v>
      </c>
      <c r="C18" s="32" t="s">
        <v>72</v>
      </c>
      <c r="D18" s="30"/>
      <c r="E18" s="30"/>
      <c r="F18" s="30"/>
      <c r="G18" s="30"/>
      <c r="H18" s="30"/>
      <c r="I18" s="30"/>
      <c r="J18" s="319">
        <v>6.4999999999999997E-3</v>
      </c>
      <c r="K18" s="153"/>
    </row>
    <row r="19" spans="2:11" x14ac:dyDescent="0.25">
      <c r="B19" s="38" t="s">
        <v>57</v>
      </c>
      <c r="C19" s="39" t="s">
        <v>73</v>
      </c>
      <c r="D19" s="30"/>
      <c r="E19" s="30"/>
      <c r="F19" s="30"/>
      <c r="G19" s="30"/>
      <c r="H19" s="30"/>
      <c r="I19" s="30"/>
      <c r="J19" s="319">
        <v>0.03</v>
      </c>
      <c r="K19" s="153"/>
    </row>
    <row r="20" spans="2:11" ht="15.75" thickBot="1" x14ac:dyDescent="0.3">
      <c r="B20" s="38" t="s">
        <v>58</v>
      </c>
      <c r="C20" s="32" t="s">
        <v>74</v>
      </c>
      <c r="D20" s="30"/>
      <c r="E20" s="30"/>
      <c r="F20" s="30"/>
      <c r="G20" s="30"/>
      <c r="H20" s="30"/>
      <c r="I20" s="30"/>
      <c r="J20" s="319">
        <v>4.4999999999999998E-2</v>
      </c>
    </row>
    <row r="21" spans="2:11" ht="15.75" thickBot="1" x14ac:dyDescent="0.3">
      <c r="B21" s="116"/>
      <c r="C21" s="108"/>
      <c r="D21" s="108"/>
      <c r="E21" s="108"/>
      <c r="F21" s="108"/>
      <c r="G21" s="108"/>
      <c r="H21" s="624" t="s">
        <v>75</v>
      </c>
      <c r="I21" s="625"/>
      <c r="J21" s="115">
        <f>SUM(J17:J20)</f>
        <v>0.1065</v>
      </c>
    </row>
    <row r="22" spans="2:11" ht="15.75" thickBot="1" x14ac:dyDescent="0.3">
      <c r="B22" s="626" t="s">
        <v>76</v>
      </c>
      <c r="C22" s="627"/>
      <c r="D22" s="627"/>
      <c r="E22" s="627"/>
      <c r="F22" s="627"/>
      <c r="G22" s="627"/>
      <c r="H22" s="627"/>
      <c r="I22" s="627"/>
      <c r="J22" s="628"/>
    </row>
    <row r="23" spans="2:11" ht="53.25" customHeight="1" thickBot="1" x14ac:dyDescent="0.3">
      <c r="B23" s="629"/>
      <c r="C23" s="630"/>
      <c r="D23" s="630"/>
      <c r="E23" s="630"/>
      <c r="F23" s="630"/>
      <c r="G23" s="630"/>
      <c r="H23" s="630"/>
      <c r="I23" s="631"/>
      <c r="J23" s="40">
        <f>(((1+J9+J10+J11)*(1+J12)*(1+J13))/(1-J14))-1</f>
        <v>0.26138499198209297</v>
      </c>
    </row>
    <row r="24" spans="2:11" x14ac:dyDescent="0.25">
      <c r="B24" s="41"/>
      <c r="C24" s="30"/>
      <c r="D24" s="30"/>
      <c r="E24" s="30"/>
      <c r="F24" s="30"/>
      <c r="G24" s="30"/>
      <c r="H24" s="30"/>
      <c r="I24" s="30"/>
      <c r="J24" s="42"/>
    </row>
    <row r="25" spans="2:11" x14ac:dyDescent="0.25">
      <c r="B25" s="43" t="s">
        <v>77</v>
      </c>
      <c r="C25" s="44"/>
      <c r="D25" s="44"/>
      <c r="E25" s="44"/>
      <c r="F25" s="44"/>
      <c r="G25" s="44"/>
      <c r="H25" s="44"/>
      <c r="I25" s="44"/>
      <c r="J25" s="44"/>
    </row>
    <row r="26" spans="2:11" ht="25.5" customHeight="1" x14ac:dyDescent="0.25">
      <c r="B26" s="632" t="s">
        <v>82</v>
      </c>
      <c r="C26" s="632"/>
      <c r="D26" s="632"/>
      <c r="E26" s="632"/>
      <c r="F26" s="632"/>
      <c r="G26" s="632"/>
      <c r="H26" s="632"/>
      <c r="I26" s="632"/>
      <c r="J26" s="632"/>
    </row>
    <row r="27" spans="2:11" ht="30" customHeight="1" x14ac:dyDescent="0.25">
      <c r="B27" s="632" t="s">
        <v>78</v>
      </c>
      <c r="C27" s="632"/>
      <c r="D27" s="632"/>
      <c r="E27" s="632"/>
      <c r="F27" s="632"/>
      <c r="G27" s="632"/>
      <c r="H27" s="632"/>
      <c r="I27" s="632"/>
      <c r="J27" s="632"/>
    </row>
    <row r="28" spans="2:11" ht="24" customHeight="1" x14ac:dyDescent="0.25">
      <c r="B28" s="632" t="s">
        <v>79</v>
      </c>
      <c r="C28" s="632"/>
      <c r="D28" s="632"/>
      <c r="E28" s="632"/>
      <c r="F28" s="632"/>
      <c r="G28" s="632"/>
      <c r="H28" s="632"/>
      <c r="I28" s="632"/>
      <c r="J28" s="632"/>
    </row>
    <row r="29" spans="2:11" ht="35.25" customHeight="1" x14ac:dyDescent="0.25">
      <c r="B29" s="632" t="s">
        <v>80</v>
      </c>
      <c r="C29" s="632"/>
      <c r="D29" s="632"/>
      <c r="E29" s="632"/>
      <c r="F29" s="632"/>
      <c r="G29" s="632"/>
      <c r="H29" s="632"/>
      <c r="I29" s="632"/>
      <c r="J29" s="632"/>
    </row>
    <row r="30" spans="2:11" ht="47.25" customHeight="1" x14ac:dyDescent="0.25">
      <c r="B30" s="633" t="s">
        <v>81</v>
      </c>
      <c r="C30" s="633"/>
      <c r="D30" s="633"/>
      <c r="E30" s="633"/>
      <c r="F30" s="633"/>
      <c r="G30" s="633"/>
      <c r="H30" s="633"/>
      <c r="I30" s="633"/>
      <c r="J30" s="633"/>
    </row>
    <row r="31" spans="2:11" ht="41.85" customHeight="1" x14ac:dyDescent="0.25">
      <c r="B31" s="633" t="s">
        <v>159</v>
      </c>
      <c r="C31" s="633"/>
      <c r="D31" s="633"/>
      <c r="E31" s="633"/>
      <c r="F31" s="633"/>
      <c r="G31" s="633"/>
      <c r="H31" s="633"/>
      <c r="I31" s="633"/>
      <c r="J31" s="633"/>
    </row>
    <row r="32" spans="2:11" x14ac:dyDescent="0.25">
      <c r="B32" s="30"/>
      <c r="C32" s="30"/>
      <c r="D32" s="30"/>
      <c r="E32" s="30"/>
      <c r="F32" s="30"/>
      <c r="G32" s="30"/>
      <c r="H32" s="30"/>
      <c r="I32" s="30"/>
      <c r="J32" s="30"/>
    </row>
    <row r="33" spans="2:16" x14ac:dyDescent="0.25">
      <c r="B33" s="623"/>
      <c r="C33" s="623"/>
      <c r="D33" s="623"/>
      <c r="E33" s="623"/>
      <c r="F33" s="623"/>
      <c r="G33" s="623"/>
      <c r="H33" s="623"/>
      <c r="I33" s="623"/>
      <c r="J33" s="623"/>
    </row>
    <row r="40" spans="2:16" x14ac:dyDescent="0.25">
      <c r="P40">
        <v>24.23</v>
      </c>
    </row>
    <row r="41" spans="2:16" x14ac:dyDescent="0.25">
      <c r="P41">
        <v>4.5</v>
      </c>
    </row>
    <row r="42" spans="2:16" x14ac:dyDescent="0.25">
      <c r="P42">
        <f>P41+P40</f>
        <v>28.73</v>
      </c>
    </row>
  </sheetData>
  <mergeCells count="15">
    <mergeCell ref="A1:I1"/>
    <mergeCell ref="A2:I2"/>
    <mergeCell ref="A3:I3"/>
    <mergeCell ref="B6:J6"/>
    <mergeCell ref="A4:K4"/>
    <mergeCell ref="B33:J33"/>
    <mergeCell ref="H21:I21"/>
    <mergeCell ref="B22:J22"/>
    <mergeCell ref="B23:I23"/>
    <mergeCell ref="B26:J26"/>
    <mergeCell ref="B27:J27"/>
    <mergeCell ref="B28:J28"/>
    <mergeCell ref="B29:J29"/>
    <mergeCell ref="B30:J30"/>
    <mergeCell ref="B31:J31"/>
  </mergeCells>
  <pageMargins left="0.511811024" right="0.511811024" top="1.3474015750000001" bottom="0.78740157499999996" header="0.31496062000000002" footer="0.31496062000000002"/>
  <pageSetup paperSize="9" scale="89" orientation="portrait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6"/>
  <sheetViews>
    <sheetView view="pageBreakPreview" topLeftCell="A6" zoomScale="70" zoomScaleSheetLayoutView="70" workbookViewId="0">
      <selection activeCell="C5" sqref="C5"/>
    </sheetView>
  </sheetViews>
  <sheetFormatPr defaultColWidth="9.140625" defaultRowHeight="12.75" x14ac:dyDescent="0.25"/>
  <cols>
    <col min="1" max="1" width="9.140625" style="255" customWidth="1"/>
    <col min="2" max="2" width="44" style="255" bestFit="1" customWidth="1"/>
    <col min="3" max="3" width="7.7109375" style="255" bestFit="1" customWidth="1"/>
    <col min="4" max="4" width="14.7109375" style="260" bestFit="1" customWidth="1"/>
    <col min="5" max="5" width="15.7109375" style="260" bestFit="1" customWidth="1"/>
    <col min="6" max="6" width="17.7109375" style="255" bestFit="1" customWidth="1"/>
    <col min="7" max="7" width="9.140625" style="255"/>
    <col min="8" max="8" width="17" style="255" bestFit="1" customWidth="1"/>
    <col min="9" max="16384" width="9.140625" style="255"/>
  </cols>
  <sheetData>
    <row r="1" spans="1:6" ht="14.25" x14ac:dyDescent="0.2">
      <c r="A1" s="552"/>
      <c r="B1" s="552"/>
      <c r="C1" s="552"/>
      <c r="D1" s="552"/>
      <c r="E1" s="552"/>
      <c r="F1" s="552"/>
    </row>
    <row r="2" spans="1:6" ht="14.25" x14ac:dyDescent="0.2">
      <c r="A2" s="552"/>
      <c r="B2" s="552"/>
      <c r="C2" s="552"/>
      <c r="D2" s="552"/>
      <c r="E2" s="552"/>
      <c r="F2" s="552"/>
    </row>
    <row r="3" spans="1:6" ht="14.25" x14ac:dyDescent="0.2">
      <c r="A3" s="552"/>
      <c r="B3" s="552"/>
      <c r="C3" s="552"/>
      <c r="D3" s="552"/>
      <c r="E3" s="552"/>
      <c r="F3" s="552"/>
    </row>
    <row r="4" spans="1:6" ht="14.25" x14ac:dyDescent="0.2">
      <c r="A4" s="557" t="str">
        <f>'B.D.I  DESONERADO'!A4:I4</f>
        <v>EXECUÇÃO DOS SERVIÇOS DE DRENAGEM SUPERFICIAL E PAVIMENTAÇÃO ASFÁLTICA DE VIAS EM GARRAFÃO DO NORTE</v>
      </c>
      <c r="B4" s="557"/>
      <c r="C4" s="557"/>
      <c r="D4" s="557"/>
      <c r="E4" s="557"/>
      <c r="F4" s="557"/>
    </row>
    <row r="5" spans="1:6" ht="15.75" thickBot="1" x14ac:dyDescent="0.3">
      <c r="A5" s="244"/>
      <c r="B5" s="244"/>
      <c r="C5" s="244"/>
      <c r="D5" s="244"/>
      <c r="E5" s="244"/>
    </row>
    <row r="6" spans="1:6" s="250" customFormat="1" ht="30.75" customHeight="1" x14ac:dyDescent="0.2">
      <c r="A6" s="652" t="s">
        <v>172</v>
      </c>
      <c r="B6" s="652"/>
      <c r="C6" s="652"/>
      <c r="D6" s="652"/>
      <c r="E6" s="652"/>
      <c r="F6" s="652"/>
    </row>
    <row r="7" spans="1:6" ht="22.35" customHeight="1" x14ac:dyDescent="0.25">
      <c r="A7" s="653" t="s">
        <v>47</v>
      </c>
      <c r="B7" s="653" t="s">
        <v>103</v>
      </c>
      <c r="C7" s="653" t="s">
        <v>108</v>
      </c>
      <c r="D7" s="257" t="s">
        <v>109</v>
      </c>
      <c r="E7" s="257" t="s">
        <v>110</v>
      </c>
      <c r="F7" s="653" t="s">
        <v>9</v>
      </c>
    </row>
    <row r="8" spans="1:6" ht="22.35" customHeight="1" x14ac:dyDescent="0.25">
      <c r="A8" s="654"/>
      <c r="B8" s="654"/>
      <c r="C8" s="654"/>
      <c r="D8" s="251" t="s">
        <v>160</v>
      </c>
      <c r="E8" s="251" t="s">
        <v>160</v>
      </c>
      <c r="F8" s="654"/>
    </row>
    <row r="9" spans="1:6" ht="36.950000000000003" customHeight="1" x14ac:dyDescent="0.25">
      <c r="A9" s="640">
        <v>1</v>
      </c>
      <c r="B9" s="649" t="str">
        <f>'ORÇAMENTO DESONERADO'!D12</f>
        <v>ADMINISTRAÇÃO LOCAL</v>
      </c>
      <c r="C9" s="646">
        <f>F9/$F$33</f>
        <v>1.650883475227953E-2</v>
      </c>
      <c r="D9" s="218">
        <v>0.5</v>
      </c>
      <c r="E9" s="218">
        <v>0.5</v>
      </c>
      <c r="F9" s="637">
        <f>'ORÇAMENTO DESONERADO'!I14</f>
        <v>46779.519999999997</v>
      </c>
    </row>
    <row r="10" spans="1:6" x14ac:dyDescent="0.25">
      <c r="A10" s="641"/>
      <c r="B10" s="650"/>
      <c r="C10" s="647"/>
      <c r="D10" s="251"/>
      <c r="E10" s="251"/>
      <c r="F10" s="638"/>
    </row>
    <row r="11" spans="1:6" ht="36.950000000000003" customHeight="1" x14ac:dyDescent="0.25">
      <c r="A11" s="642"/>
      <c r="B11" s="651"/>
      <c r="C11" s="648"/>
      <c r="D11" s="254">
        <f>D9*F9</f>
        <v>23389.759999999998</v>
      </c>
      <c r="E11" s="254">
        <f>E9*F9</f>
        <v>23389.759999999998</v>
      </c>
      <c r="F11" s="639"/>
    </row>
    <row r="12" spans="1:6" ht="36.950000000000003" customHeight="1" x14ac:dyDescent="0.25">
      <c r="A12" s="640">
        <v>2</v>
      </c>
      <c r="B12" s="643" t="str">
        <f>'ORÇAMENTO DESONERADO'!D16</f>
        <v>SERVIÇOS PRELIMINARES</v>
      </c>
      <c r="C12" s="646">
        <f>F12/$F$33</f>
        <v>6.7653179066723889E-3</v>
      </c>
      <c r="D12" s="246">
        <v>1</v>
      </c>
      <c r="E12" s="246"/>
      <c r="F12" s="637">
        <f>'ORÇAMENTO DESONERADO'!I20</f>
        <v>19170.239999999998</v>
      </c>
    </row>
    <row r="13" spans="1:6" x14ac:dyDescent="0.25">
      <c r="A13" s="641"/>
      <c r="B13" s="644"/>
      <c r="C13" s="647"/>
      <c r="D13" s="251"/>
      <c r="E13" s="258"/>
      <c r="F13" s="638"/>
    </row>
    <row r="14" spans="1:6" ht="36.950000000000003" customHeight="1" x14ac:dyDescent="0.25">
      <c r="A14" s="642"/>
      <c r="B14" s="645"/>
      <c r="C14" s="648"/>
      <c r="D14" s="254">
        <f>D12*F12</f>
        <v>19170.239999999998</v>
      </c>
      <c r="E14" s="254"/>
      <c r="F14" s="639"/>
    </row>
    <row r="15" spans="1:6" ht="36.950000000000003" customHeight="1" x14ac:dyDescent="0.25">
      <c r="A15" s="640">
        <v>3</v>
      </c>
      <c r="B15" s="655" t="str">
        <f>'ORÇAMENTO DESONERADO'!D22</f>
        <v>MOBILIZAÇÃO E DESMOBILIZAÇÃO</v>
      </c>
      <c r="C15" s="646">
        <f>F15/$F$33</f>
        <v>5.119248793021695E-3</v>
      </c>
      <c r="D15" s="246">
        <v>0.5</v>
      </c>
      <c r="E15" s="246">
        <v>0.5</v>
      </c>
      <c r="F15" s="637">
        <f>'ORÇAMENTO DESONERADO'!I24</f>
        <v>14505.93</v>
      </c>
    </row>
    <row r="16" spans="1:6" x14ac:dyDescent="0.25">
      <c r="A16" s="641"/>
      <c r="B16" s="656"/>
      <c r="C16" s="647"/>
      <c r="D16" s="251"/>
      <c r="E16" s="251"/>
      <c r="F16" s="638"/>
    </row>
    <row r="17" spans="1:6" ht="36.950000000000003" customHeight="1" x14ac:dyDescent="0.25">
      <c r="A17" s="642"/>
      <c r="B17" s="657"/>
      <c r="C17" s="648"/>
      <c r="D17" s="254">
        <f>ROUND($F$15*D15,2)</f>
        <v>7252.97</v>
      </c>
      <c r="E17" s="254">
        <f>ROUND($F$15*E15,2)</f>
        <v>7252.97</v>
      </c>
      <c r="F17" s="639"/>
    </row>
    <row r="18" spans="1:6" ht="36.950000000000003" customHeight="1" x14ac:dyDescent="0.25">
      <c r="A18" s="640">
        <v>4</v>
      </c>
      <c r="B18" s="655" t="str">
        <f>'ORÇAMENTO DESONERADO'!D26</f>
        <v>MOVIMENTAÇÃO DE TERRA</v>
      </c>
      <c r="C18" s="646">
        <f>F18/$F$33</f>
        <v>0.17697243073946928</v>
      </c>
      <c r="D18" s="218">
        <v>0.9</v>
      </c>
      <c r="E18" s="218">
        <v>0.1</v>
      </c>
      <c r="F18" s="637">
        <f>'ORÇAMENTO DESONERADO'!I33</f>
        <v>501470</v>
      </c>
    </row>
    <row r="19" spans="1:6" x14ac:dyDescent="0.25">
      <c r="A19" s="641"/>
      <c r="B19" s="656"/>
      <c r="C19" s="647"/>
      <c r="D19" s="251"/>
      <c r="E19" s="251"/>
      <c r="F19" s="638"/>
    </row>
    <row r="20" spans="1:6" ht="36.950000000000003" customHeight="1" x14ac:dyDescent="0.25">
      <c r="A20" s="642"/>
      <c r="B20" s="657"/>
      <c r="C20" s="648"/>
      <c r="D20" s="254">
        <f>D18*F18</f>
        <v>451323</v>
      </c>
      <c r="E20" s="254">
        <f>E18*F18</f>
        <v>50147</v>
      </c>
      <c r="F20" s="639"/>
    </row>
    <row r="21" spans="1:6" ht="36.950000000000003" customHeight="1" x14ac:dyDescent="0.25">
      <c r="A21" s="640">
        <v>5</v>
      </c>
      <c r="B21" s="655" t="str">
        <f>'ORÇAMENTO DESONERADO'!D35</f>
        <v>DRENAGEM SUPERFICIAL</v>
      </c>
      <c r="C21" s="646">
        <f>F21/$F$33</f>
        <v>0.22649907615923345</v>
      </c>
      <c r="D21" s="218">
        <v>0.4</v>
      </c>
      <c r="E21" s="218">
        <v>0.6</v>
      </c>
      <c r="F21" s="637">
        <f>'ORÇAMENTO DESONERADO'!I39</f>
        <v>641808.96</v>
      </c>
    </row>
    <row r="22" spans="1:6" x14ac:dyDescent="0.25">
      <c r="A22" s="641"/>
      <c r="B22" s="656"/>
      <c r="C22" s="647"/>
      <c r="D22" s="251"/>
      <c r="E22" s="251"/>
      <c r="F22" s="638"/>
    </row>
    <row r="23" spans="1:6" ht="36.950000000000003" customHeight="1" x14ac:dyDescent="0.25">
      <c r="A23" s="642"/>
      <c r="B23" s="657"/>
      <c r="C23" s="648"/>
      <c r="D23" s="254">
        <f>D21*F21</f>
        <v>256723.584</v>
      </c>
      <c r="E23" s="254">
        <f>E21*F21</f>
        <v>385085.37599999999</v>
      </c>
      <c r="F23" s="639"/>
    </row>
    <row r="24" spans="1:6" ht="36.75" customHeight="1" x14ac:dyDescent="0.25">
      <c r="A24" s="640">
        <v>6</v>
      </c>
      <c r="B24" s="655" t="str">
        <f>'ORÇAMENTO DESONERADO'!D41</f>
        <v>URBANISMO DO PASSEIO</v>
      </c>
      <c r="C24" s="646">
        <f>F24/$F$33</f>
        <v>0.27769949391679544</v>
      </c>
      <c r="D24" s="218">
        <v>0.4</v>
      </c>
      <c r="E24" s="218">
        <v>0.6</v>
      </c>
      <c r="F24" s="637">
        <f>'ORÇAMENTO DESONERADO'!I49</f>
        <v>786890.73</v>
      </c>
    </row>
    <row r="25" spans="1:6" x14ac:dyDescent="0.25">
      <c r="A25" s="641"/>
      <c r="B25" s="656"/>
      <c r="C25" s="647"/>
      <c r="D25" s="251"/>
      <c r="E25" s="251"/>
      <c r="F25" s="638"/>
    </row>
    <row r="26" spans="1:6" ht="36.950000000000003" customHeight="1" x14ac:dyDescent="0.25">
      <c r="A26" s="642"/>
      <c r="B26" s="657"/>
      <c r="C26" s="648"/>
      <c r="D26" s="254">
        <f>D24*F24</f>
        <v>314756.29200000002</v>
      </c>
      <c r="E26" s="254">
        <f>E24*F24</f>
        <v>472134.43799999997</v>
      </c>
      <c r="F26" s="639"/>
    </row>
    <row r="27" spans="1:6" ht="36.950000000000003" customHeight="1" x14ac:dyDescent="0.25">
      <c r="A27" s="640">
        <v>7</v>
      </c>
      <c r="B27" s="655" t="str">
        <f>'ORÇAMENTO DESONERADO'!D51</f>
        <v>PAVIMENTAÇÃO</v>
      </c>
      <c r="C27" s="646">
        <f>F27/$F$33</f>
        <v>0.2871394434199937</v>
      </c>
      <c r="D27" s="218">
        <v>0.5</v>
      </c>
      <c r="E27" s="218">
        <v>0.5</v>
      </c>
      <c r="F27" s="637">
        <f>'ORÇAMENTO DESONERADO'!I56</f>
        <v>813639.82000000007</v>
      </c>
    </row>
    <row r="28" spans="1:6" ht="21" customHeight="1" x14ac:dyDescent="0.25">
      <c r="A28" s="641"/>
      <c r="B28" s="656"/>
      <c r="C28" s="647"/>
      <c r="D28" s="251"/>
      <c r="E28" s="251"/>
      <c r="F28" s="638"/>
    </row>
    <row r="29" spans="1:6" ht="36.950000000000003" customHeight="1" x14ac:dyDescent="0.25">
      <c r="A29" s="642"/>
      <c r="B29" s="657"/>
      <c r="C29" s="648"/>
      <c r="D29" s="254">
        <f>D27*F27</f>
        <v>406819.91000000003</v>
      </c>
      <c r="E29" s="254">
        <f>E27*F27</f>
        <v>406819.91000000003</v>
      </c>
      <c r="F29" s="639"/>
    </row>
    <row r="30" spans="1:6" ht="36.950000000000003" customHeight="1" x14ac:dyDescent="0.25">
      <c r="A30" s="640">
        <v>8</v>
      </c>
      <c r="B30" s="655" t="str">
        <f>'ORÇAMENTO DESONERADO'!D78</f>
        <v>SINALIZAÇÃO VIÁRIA</v>
      </c>
      <c r="C30" s="646">
        <f>F30/$F$33</f>
        <v>3.2961543125344349E-3</v>
      </c>
      <c r="D30" s="218"/>
      <c r="E30" s="218">
        <v>1</v>
      </c>
      <c r="F30" s="637">
        <f>'ORÇAMENTO DESONERADO'!I80</f>
        <v>9340</v>
      </c>
    </row>
    <row r="31" spans="1:6" ht="15" customHeight="1" x14ac:dyDescent="0.25">
      <c r="A31" s="641"/>
      <c r="B31" s="656"/>
      <c r="C31" s="647"/>
      <c r="D31" s="258"/>
      <c r="E31" s="251"/>
      <c r="F31" s="638"/>
    </row>
    <row r="32" spans="1:6" ht="36.950000000000003" customHeight="1" x14ac:dyDescent="0.25">
      <c r="A32" s="642"/>
      <c r="B32" s="657"/>
      <c r="C32" s="648"/>
      <c r="D32" s="504"/>
      <c r="E32" s="504">
        <f>E30*F30</f>
        <v>9340</v>
      </c>
      <c r="F32" s="639"/>
    </row>
    <row r="33" spans="1:8" ht="36.950000000000003" customHeight="1" x14ac:dyDescent="0.25">
      <c r="A33" s="257"/>
      <c r="B33" s="257" t="s">
        <v>111</v>
      </c>
      <c r="C33" s="257"/>
      <c r="D33" s="219">
        <f>D32+D29+D26+D23+D20+D17+D14+D11</f>
        <v>1479435.7560000001</v>
      </c>
      <c r="E33" s="219">
        <f>E32+E29+E26+E23+E20+E17+E14+E11</f>
        <v>1354169.4539999999</v>
      </c>
      <c r="F33" s="252">
        <f>SUM(F9:F32)</f>
        <v>2833605.2</v>
      </c>
      <c r="H33" s="464">
        <f>'ORÇAMENTO DESONERADO'!I101</f>
        <v>2833605.2</v>
      </c>
    </row>
    <row r="34" spans="1:8" ht="36.950000000000003" customHeight="1" x14ac:dyDescent="0.25">
      <c r="A34" s="256"/>
      <c r="B34" s="259" t="s">
        <v>112</v>
      </c>
      <c r="C34" s="259"/>
      <c r="D34" s="248">
        <f>D33/$F$33</f>
        <v>0.52210369884979035</v>
      </c>
      <c r="E34" s="248">
        <f>E33/$F$33</f>
        <v>0.47789630467928274</v>
      </c>
      <c r="F34" s="253">
        <f>SUM(D34:E34)</f>
        <v>1.000000003529073</v>
      </c>
    </row>
    <row r="35" spans="1:8" ht="36.950000000000003" customHeight="1" x14ac:dyDescent="0.25">
      <c r="A35" s="256"/>
      <c r="B35" s="257" t="s">
        <v>113</v>
      </c>
      <c r="C35" s="257"/>
      <c r="D35" s="219">
        <f>D33</f>
        <v>1479435.7560000001</v>
      </c>
      <c r="E35" s="220">
        <f>ROUND(D35+E33,2)</f>
        <v>2833605.21</v>
      </c>
      <c r="F35" s="249"/>
      <c r="H35" s="465">
        <f>H33-F33</f>
        <v>0</v>
      </c>
    </row>
    <row r="36" spans="1:8" ht="36.950000000000003" customHeight="1" x14ac:dyDescent="0.25">
      <c r="A36" s="256"/>
      <c r="B36" s="259" t="s">
        <v>114</v>
      </c>
      <c r="C36" s="259"/>
      <c r="D36" s="248">
        <f>D34</f>
        <v>0.52210369884979035</v>
      </c>
      <c r="E36" s="248">
        <f>E34+D36</f>
        <v>1.000000003529073</v>
      </c>
      <c r="F36" s="247"/>
    </row>
  </sheetData>
  <mergeCells count="41">
    <mergeCell ref="F30:F32"/>
    <mergeCell ref="A30:A32"/>
    <mergeCell ref="B30:B32"/>
    <mergeCell ref="C30:C32"/>
    <mergeCell ref="F24:F26"/>
    <mergeCell ref="A24:A26"/>
    <mergeCell ref="B24:B26"/>
    <mergeCell ref="C24:C26"/>
    <mergeCell ref="A27:A29"/>
    <mergeCell ref="B27:B29"/>
    <mergeCell ref="C27:C29"/>
    <mergeCell ref="F27:F29"/>
    <mergeCell ref="A21:A23"/>
    <mergeCell ref="B21:B23"/>
    <mergeCell ref="C21:C23"/>
    <mergeCell ref="F21:F23"/>
    <mergeCell ref="A15:A17"/>
    <mergeCell ref="B15:B17"/>
    <mergeCell ref="B18:B20"/>
    <mergeCell ref="F18:F20"/>
    <mergeCell ref="A3:F3"/>
    <mergeCell ref="C15:C17"/>
    <mergeCell ref="A18:A20"/>
    <mergeCell ref="C18:C20"/>
    <mergeCell ref="F15:F17"/>
    <mergeCell ref="A1:F1"/>
    <mergeCell ref="F9:F11"/>
    <mergeCell ref="A12:A14"/>
    <mergeCell ref="B12:B14"/>
    <mergeCell ref="C12:C14"/>
    <mergeCell ref="F12:F14"/>
    <mergeCell ref="A9:A11"/>
    <mergeCell ref="B9:B11"/>
    <mergeCell ref="C9:C11"/>
    <mergeCell ref="A6:F6"/>
    <mergeCell ref="A7:A8"/>
    <mergeCell ref="B7:B8"/>
    <mergeCell ref="C7:C8"/>
    <mergeCell ref="F7:F8"/>
    <mergeCell ref="A4:F4"/>
    <mergeCell ref="A2:F2"/>
  </mergeCells>
  <phoneticPr fontId="7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"/>
  <sheetViews>
    <sheetView view="pageBreakPreview" topLeftCell="A2" zoomScale="98" zoomScaleNormal="100" zoomScaleSheetLayoutView="98" workbookViewId="0">
      <selection activeCell="E26" sqref="E26"/>
    </sheetView>
  </sheetViews>
  <sheetFormatPr defaultRowHeight="15" x14ac:dyDescent="0.25"/>
  <cols>
    <col min="1" max="1" width="10.140625" style="46" bestFit="1" customWidth="1"/>
    <col min="2" max="2" width="66.42578125" style="46" customWidth="1"/>
    <col min="3" max="3" width="5.28515625" style="46" bestFit="1" customWidth="1"/>
    <col min="4" max="4" width="15.140625" style="46" customWidth="1"/>
    <col min="5" max="5" width="14.42578125" style="46" customWidth="1"/>
    <col min="6" max="6" width="14.28515625" style="46" bestFit="1" customWidth="1"/>
    <col min="7" max="7" width="12.140625" style="46" bestFit="1" customWidth="1"/>
    <col min="8" max="8" width="13.42578125" style="46" customWidth="1"/>
    <col min="9" max="9" width="15.7109375" style="46" customWidth="1"/>
    <col min="11" max="11" width="14.85546875" customWidth="1"/>
    <col min="12" max="12" width="17.28515625" customWidth="1"/>
    <col min="14" max="14" width="9.5703125" bestFit="1" customWidth="1"/>
    <col min="15" max="15" width="11.85546875" customWidth="1"/>
    <col min="16" max="16" width="13.7109375" customWidth="1"/>
    <col min="17" max="17" width="14.42578125" bestFit="1" customWidth="1"/>
    <col min="18" max="18" width="14.140625" customWidth="1"/>
    <col min="19" max="19" width="14.5703125" customWidth="1"/>
  </cols>
  <sheetData>
    <row r="1" spans="1:9" s="8" customFormat="1" ht="20.25" customHeight="1" x14ac:dyDescent="0.25">
      <c r="A1" s="552"/>
      <c r="B1" s="552"/>
      <c r="C1" s="552"/>
      <c r="D1" s="552"/>
      <c r="E1" s="552"/>
      <c r="F1" s="552"/>
    </row>
    <row r="2" spans="1:9" ht="20.25" customHeight="1" x14ac:dyDescent="0.25">
      <c r="A2" s="552"/>
      <c r="B2" s="552"/>
      <c r="C2" s="552"/>
      <c r="D2" s="552"/>
      <c r="E2" s="552"/>
      <c r="F2" s="552"/>
      <c r="G2"/>
      <c r="H2"/>
      <c r="I2"/>
    </row>
    <row r="3" spans="1:9" ht="20.25" customHeight="1" x14ac:dyDescent="0.25">
      <c r="A3" s="552"/>
      <c r="B3" s="552"/>
      <c r="C3" s="552"/>
      <c r="D3" s="552"/>
      <c r="E3" s="552"/>
      <c r="F3" s="552"/>
      <c r="G3"/>
      <c r="H3"/>
      <c r="I3"/>
    </row>
    <row r="4" spans="1:9" ht="28.5" customHeight="1" x14ac:dyDescent="0.25">
      <c r="A4" s="661" t="str">
        <f>COMPOS.MOBILIZAÇÃO!A4</f>
        <v>EXECUÇÃO DOS SERVIÇOS DE DRENAGEM SUPERFICIAL E PAVIMENTAÇÃO ASFÁLTICA DE VIAS EM GARRAFÃO DO NORTE</v>
      </c>
      <c r="B4" s="661"/>
      <c r="C4" s="661"/>
      <c r="D4" s="661"/>
      <c r="E4" s="661"/>
      <c r="F4" s="661"/>
      <c r="G4" s="234"/>
      <c r="H4"/>
      <c r="I4"/>
    </row>
    <row r="5" spans="1:9" x14ac:dyDescent="0.25">
      <c r="A5" s="552"/>
      <c r="B5" s="552"/>
      <c r="C5" s="552"/>
      <c r="D5" s="552"/>
      <c r="E5" s="552"/>
      <c r="F5" s="552"/>
    </row>
    <row r="6" spans="1:9" ht="18.75" thickBot="1" x14ac:dyDescent="0.3">
      <c r="A6" s="658" t="s">
        <v>149</v>
      </c>
      <c r="B6" s="659"/>
      <c r="C6" s="659"/>
      <c r="D6" s="659"/>
      <c r="E6" s="659"/>
      <c r="F6" s="660"/>
    </row>
    <row r="7" spans="1:9" x14ac:dyDescent="0.25">
      <c r="A7" s="243"/>
      <c r="B7" s="222"/>
      <c r="C7" s="222"/>
      <c r="D7" s="222"/>
      <c r="E7" s="222"/>
      <c r="F7" s="242"/>
    </row>
    <row r="8" spans="1:9" hidden="1" x14ac:dyDescent="0.25">
      <c r="A8" s="664" t="s">
        <v>121</v>
      </c>
      <c r="B8" s="665"/>
      <c r="C8" s="665"/>
      <c r="D8" s="665"/>
      <c r="E8" s="665"/>
      <c r="F8" s="666"/>
    </row>
    <row r="9" spans="1:9" ht="25.5" hidden="1" x14ac:dyDescent="0.25">
      <c r="A9" s="240" t="s">
        <v>119</v>
      </c>
      <c r="B9" s="235" t="s">
        <v>151</v>
      </c>
      <c r="C9" s="241" t="s">
        <v>152</v>
      </c>
      <c r="D9" s="233" t="s">
        <v>153</v>
      </c>
      <c r="E9" s="221" t="s">
        <v>154</v>
      </c>
      <c r="F9" s="232" t="s">
        <v>155</v>
      </c>
    </row>
    <row r="10" spans="1:9" ht="38.25" hidden="1" x14ac:dyDescent="0.25">
      <c r="A10" s="237">
        <v>10775</v>
      </c>
      <c r="B10" s="236" t="s">
        <v>156</v>
      </c>
      <c r="C10" s="245" t="s">
        <v>152</v>
      </c>
      <c r="D10" s="239">
        <v>1</v>
      </c>
      <c r="E10" s="238">
        <v>630</v>
      </c>
      <c r="F10" s="238">
        <f>D10*E10</f>
        <v>630</v>
      </c>
    </row>
    <row r="11" spans="1:9" ht="25.5" hidden="1" x14ac:dyDescent="0.25">
      <c r="A11" s="237">
        <v>10776</v>
      </c>
      <c r="B11" s="236" t="s">
        <v>157</v>
      </c>
      <c r="C11" s="245" t="s">
        <v>152</v>
      </c>
      <c r="D11" s="239">
        <v>1</v>
      </c>
      <c r="E11" s="238">
        <v>492.18</v>
      </c>
      <c r="F11" s="238">
        <f>D11*E11</f>
        <v>492.18</v>
      </c>
    </row>
    <row r="12" spans="1:9" ht="38.25" hidden="1" x14ac:dyDescent="0.25">
      <c r="A12" s="237">
        <v>10777</v>
      </c>
      <c r="B12" s="236" t="s">
        <v>158</v>
      </c>
      <c r="C12" s="245" t="s">
        <v>152</v>
      </c>
      <c r="D12" s="239">
        <v>1</v>
      </c>
      <c r="E12" s="238">
        <v>715.31</v>
      </c>
      <c r="F12" s="238">
        <f>D12*E12</f>
        <v>715.31</v>
      </c>
    </row>
    <row r="13" spans="1:9" hidden="1" x14ac:dyDescent="0.25"/>
    <row r="14" spans="1:9" hidden="1" x14ac:dyDescent="0.25">
      <c r="B14" s="662" t="s">
        <v>9</v>
      </c>
      <c r="C14" s="663"/>
      <c r="D14" s="230">
        <f>SUM(F10:F12)</f>
        <v>1837.49</v>
      </c>
      <c r="E14" s="231"/>
    </row>
    <row r="15" spans="1:9" ht="15.75" thickBot="1" x14ac:dyDescent="0.3"/>
    <row r="16" spans="1:9" s="244" customFormat="1" x14ac:dyDescent="0.25">
      <c r="A16" s="664" t="s">
        <v>223</v>
      </c>
      <c r="B16" s="665"/>
      <c r="C16" s="665"/>
      <c r="D16" s="665"/>
      <c r="E16" s="665"/>
      <c r="F16" s="666"/>
      <c r="G16" s="46"/>
      <c r="H16" s="46"/>
      <c r="I16" s="46"/>
    </row>
    <row r="17" spans="1:9" s="244" customFormat="1" ht="25.5" x14ac:dyDescent="0.25">
      <c r="A17" s="240" t="s">
        <v>224</v>
      </c>
      <c r="B17" s="235" t="s">
        <v>225</v>
      </c>
      <c r="C17" s="241" t="s">
        <v>35</v>
      </c>
      <c r="D17" s="233" t="s">
        <v>153</v>
      </c>
      <c r="E17" s="221" t="s">
        <v>154</v>
      </c>
      <c r="F17" s="232" t="s">
        <v>155</v>
      </c>
      <c r="G17" s="46"/>
      <c r="H17" s="46"/>
      <c r="I17" s="46"/>
    </row>
    <row r="18" spans="1:9" s="244" customFormat="1" ht="25.5" x14ac:dyDescent="0.25">
      <c r="A18" s="237">
        <v>5839</v>
      </c>
      <c r="B18" s="236" t="s">
        <v>226</v>
      </c>
      <c r="C18" s="427" t="s">
        <v>174</v>
      </c>
      <c r="D18" s="239" t="s">
        <v>227</v>
      </c>
      <c r="E18" s="238">
        <v>10.64</v>
      </c>
      <c r="F18" s="238">
        <f>ROUND(E18*D18,2)</f>
        <v>0.02</v>
      </c>
      <c r="G18" s="46"/>
      <c r="H18" s="46"/>
      <c r="I18" s="46"/>
    </row>
    <row r="19" spans="1:9" s="244" customFormat="1" ht="25.5" x14ac:dyDescent="0.25">
      <c r="A19" s="237" t="s">
        <v>228</v>
      </c>
      <c r="B19" s="236" t="s">
        <v>229</v>
      </c>
      <c r="C19" s="427" t="s">
        <v>175</v>
      </c>
      <c r="D19" s="239" t="s">
        <v>230</v>
      </c>
      <c r="E19" s="238">
        <v>5.0599999999999996</v>
      </c>
      <c r="F19" s="238">
        <f t="shared" ref="F19:F25" si="0">ROUND(E19*D19,2)</f>
        <v>0.02</v>
      </c>
      <c r="G19" s="46"/>
      <c r="H19" s="46"/>
      <c r="I19" s="46"/>
    </row>
    <row r="20" spans="1:9" s="244" customFormat="1" ht="51" x14ac:dyDescent="0.25">
      <c r="A20" s="237">
        <v>83362</v>
      </c>
      <c r="B20" s="236" t="s">
        <v>231</v>
      </c>
      <c r="C20" s="427" t="s">
        <v>174</v>
      </c>
      <c r="D20" s="239" t="s">
        <v>232</v>
      </c>
      <c r="E20" s="238">
        <v>251.37</v>
      </c>
      <c r="F20" s="238">
        <f t="shared" si="0"/>
        <v>0.25</v>
      </c>
      <c r="G20" s="46"/>
      <c r="H20" s="46"/>
      <c r="I20" s="46"/>
    </row>
    <row r="21" spans="1:9" s="244" customFormat="1" x14ac:dyDescent="0.25">
      <c r="A21" s="237" t="s">
        <v>233</v>
      </c>
      <c r="B21" s="236" t="s">
        <v>234</v>
      </c>
      <c r="C21" s="427" t="s">
        <v>16</v>
      </c>
      <c r="D21" s="239" t="s">
        <v>235</v>
      </c>
      <c r="E21" s="238">
        <v>15.06</v>
      </c>
      <c r="F21" s="238">
        <f t="shared" si="0"/>
        <v>0.09</v>
      </c>
      <c r="G21" s="46"/>
      <c r="H21" s="46"/>
      <c r="I21" s="46"/>
    </row>
    <row r="22" spans="1:9" s="244" customFormat="1" ht="25.5" x14ac:dyDescent="0.25">
      <c r="A22" s="237" t="s">
        <v>236</v>
      </c>
      <c r="B22" s="236" t="s">
        <v>237</v>
      </c>
      <c r="C22" s="427" t="s">
        <v>174</v>
      </c>
      <c r="D22" s="239" t="s">
        <v>238</v>
      </c>
      <c r="E22" s="238">
        <v>141.30000000000001</v>
      </c>
      <c r="F22" s="238">
        <f t="shared" si="0"/>
        <v>0.24</v>
      </c>
      <c r="G22" s="46"/>
      <c r="H22" s="46"/>
      <c r="I22" s="46"/>
    </row>
    <row r="23" spans="1:9" s="244" customFormat="1" ht="25.5" x14ac:dyDescent="0.25">
      <c r="A23" s="237" t="s">
        <v>239</v>
      </c>
      <c r="B23" s="236" t="s">
        <v>240</v>
      </c>
      <c r="C23" s="427" t="s">
        <v>175</v>
      </c>
      <c r="D23" s="239" t="s">
        <v>241</v>
      </c>
      <c r="E23" s="238">
        <v>30.02</v>
      </c>
      <c r="F23" s="238">
        <f t="shared" si="0"/>
        <v>0.12</v>
      </c>
      <c r="G23" s="46"/>
      <c r="H23" s="46"/>
      <c r="I23" s="46"/>
    </row>
    <row r="24" spans="1:9" s="244" customFormat="1" ht="51" x14ac:dyDescent="0.25">
      <c r="A24" s="237">
        <v>91486</v>
      </c>
      <c r="B24" s="236" t="s">
        <v>242</v>
      </c>
      <c r="C24" s="427" t="s">
        <v>175</v>
      </c>
      <c r="D24" s="239" t="s">
        <v>243</v>
      </c>
      <c r="E24" s="238">
        <v>45.52</v>
      </c>
      <c r="F24" s="238">
        <f t="shared" si="0"/>
        <v>0.22</v>
      </c>
      <c r="G24" s="46"/>
      <c r="H24" s="46"/>
      <c r="I24" s="46"/>
    </row>
    <row r="25" spans="1:9" s="244" customFormat="1" x14ac:dyDescent="0.25">
      <c r="A25" s="237" t="s">
        <v>300</v>
      </c>
      <c r="B25" s="236" t="s">
        <v>290</v>
      </c>
      <c r="C25" s="427" t="s">
        <v>301</v>
      </c>
      <c r="D25" s="239">
        <v>1.2</v>
      </c>
      <c r="E25" s="238">
        <f>COTAÇÃO!I21</f>
        <v>3.68</v>
      </c>
      <c r="F25" s="238">
        <f t="shared" si="0"/>
        <v>4.42</v>
      </c>
      <c r="G25" s="46"/>
      <c r="H25" s="46"/>
      <c r="I25" s="46"/>
    </row>
    <row r="26" spans="1:9" s="244" customFormat="1" x14ac:dyDescent="0.25">
      <c r="A26" s="46"/>
      <c r="B26" s="46"/>
      <c r="C26" s="377"/>
      <c r="D26" s="46"/>
      <c r="E26" s="46"/>
      <c r="F26" s="46"/>
      <c r="G26" s="46"/>
      <c r="H26" s="46"/>
      <c r="I26" s="46"/>
    </row>
    <row r="27" spans="1:9" s="244" customFormat="1" x14ac:dyDescent="0.25">
      <c r="A27" s="46"/>
      <c r="B27" s="662" t="s">
        <v>9</v>
      </c>
      <c r="C27" s="663"/>
      <c r="D27" s="230">
        <f>SUM(F18:F25)</f>
        <v>5.38</v>
      </c>
      <c r="E27" s="46"/>
      <c r="F27" s="46"/>
      <c r="G27" s="46"/>
      <c r="H27" s="46"/>
      <c r="I27" s="46"/>
    </row>
    <row r="28" spans="1:9" s="244" customFormat="1" x14ac:dyDescent="0.25">
      <c r="A28" s="46"/>
      <c r="B28" s="46"/>
      <c r="C28" s="46"/>
      <c r="D28" s="46"/>
      <c r="E28" s="46"/>
      <c r="F28" s="46"/>
      <c r="G28" s="46"/>
      <c r="H28" s="46"/>
      <c r="I28" s="46"/>
    </row>
    <row r="29" spans="1:9" hidden="1" x14ac:dyDescent="0.25">
      <c r="A29" s="664" t="s">
        <v>262</v>
      </c>
      <c r="B29" s="665"/>
      <c r="C29" s="665"/>
      <c r="D29" s="665"/>
      <c r="E29" s="665"/>
      <c r="F29" s="666"/>
    </row>
    <row r="30" spans="1:9" ht="38.25" hidden="1" x14ac:dyDescent="0.25">
      <c r="A30" s="240" t="s">
        <v>263</v>
      </c>
      <c r="B30" s="235" t="s">
        <v>271</v>
      </c>
      <c r="C30" s="241" t="s">
        <v>35</v>
      </c>
      <c r="D30" s="233" t="s">
        <v>153</v>
      </c>
      <c r="E30" s="221" t="s">
        <v>154</v>
      </c>
      <c r="F30" s="232" t="s">
        <v>155</v>
      </c>
    </row>
    <row r="31" spans="1:9" ht="51" hidden="1" x14ac:dyDescent="0.25">
      <c r="A31" s="237" t="s">
        <v>249</v>
      </c>
      <c r="B31" s="236" t="s">
        <v>248</v>
      </c>
      <c r="C31" s="427" t="s">
        <v>174</v>
      </c>
      <c r="D31" s="239" t="s">
        <v>264</v>
      </c>
      <c r="E31" s="238">
        <v>123.23</v>
      </c>
      <c r="F31" s="238">
        <f t="shared" ref="F31:F40" si="1">ROUND(E31*D31,2)</f>
        <v>0.37</v>
      </c>
    </row>
    <row r="32" spans="1:9" ht="51" hidden="1" x14ac:dyDescent="0.25">
      <c r="A32" s="237" t="s">
        <v>250</v>
      </c>
      <c r="B32" s="236" t="s">
        <v>251</v>
      </c>
      <c r="C32" s="427" t="s">
        <v>175</v>
      </c>
      <c r="D32" s="239" t="s">
        <v>265</v>
      </c>
      <c r="E32" s="238">
        <v>43.72</v>
      </c>
      <c r="F32" s="238">
        <f t="shared" si="1"/>
        <v>1.01</v>
      </c>
      <c r="G32" s="441">
        <f>D32*E32</f>
        <v>1.00556</v>
      </c>
    </row>
    <row r="33" spans="1:9" ht="51" hidden="1" x14ac:dyDescent="0.25">
      <c r="A33" s="237" t="s">
        <v>252</v>
      </c>
      <c r="B33" s="236" t="s">
        <v>101</v>
      </c>
      <c r="C33" s="427" t="s">
        <v>174</v>
      </c>
      <c r="D33" s="239" t="s">
        <v>266</v>
      </c>
      <c r="E33" s="238">
        <v>254.65</v>
      </c>
      <c r="F33" s="238">
        <f t="shared" si="1"/>
        <v>1.02</v>
      </c>
      <c r="G33" s="441">
        <f>D33*E33</f>
        <v>1.0185999999999999</v>
      </c>
    </row>
    <row r="34" spans="1:9" ht="51" hidden="1" x14ac:dyDescent="0.25">
      <c r="A34" s="237" t="s">
        <v>253</v>
      </c>
      <c r="B34" s="236" t="s">
        <v>254</v>
      </c>
      <c r="C34" s="427" t="s">
        <v>175</v>
      </c>
      <c r="D34" s="239" t="s">
        <v>267</v>
      </c>
      <c r="E34" s="238">
        <v>44.86</v>
      </c>
      <c r="F34" s="238">
        <f t="shared" si="1"/>
        <v>0.99</v>
      </c>
    </row>
    <row r="35" spans="1:9" ht="38.25" hidden="1" x14ac:dyDescent="0.25">
      <c r="A35" s="237" t="s">
        <v>255</v>
      </c>
      <c r="B35" s="236" t="s">
        <v>256</v>
      </c>
      <c r="C35" s="427" t="s">
        <v>174</v>
      </c>
      <c r="D35" s="239" t="s">
        <v>268</v>
      </c>
      <c r="E35" s="238">
        <v>201.28</v>
      </c>
      <c r="F35" s="238">
        <f t="shared" si="1"/>
        <v>1.61</v>
      </c>
    </row>
    <row r="36" spans="1:9" ht="38.25" hidden="1" x14ac:dyDescent="0.25">
      <c r="A36" s="237" t="s">
        <v>257</v>
      </c>
      <c r="B36" s="236" t="s">
        <v>258</v>
      </c>
      <c r="C36" s="427" t="s">
        <v>175</v>
      </c>
      <c r="D36" s="239" t="s">
        <v>269</v>
      </c>
      <c r="E36" s="238">
        <v>66.44</v>
      </c>
      <c r="F36" s="238">
        <f t="shared" si="1"/>
        <v>1.26</v>
      </c>
    </row>
    <row r="37" spans="1:9" hidden="1" x14ac:dyDescent="0.25">
      <c r="A37" s="237" t="s">
        <v>259</v>
      </c>
      <c r="B37" s="236" t="s">
        <v>234</v>
      </c>
      <c r="C37" s="427" t="s">
        <v>16</v>
      </c>
      <c r="D37" s="239" t="s">
        <v>270</v>
      </c>
      <c r="E37" s="238">
        <v>15.06</v>
      </c>
      <c r="F37" s="238">
        <f t="shared" si="1"/>
        <v>0.39</v>
      </c>
    </row>
    <row r="38" spans="1:9" ht="38.25" hidden="1" x14ac:dyDescent="0.25">
      <c r="A38" s="237" t="s">
        <v>260</v>
      </c>
      <c r="B38" s="236" t="s">
        <v>176</v>
      </c>
      <c r="C38" s="427" t="s">
        <v>174</v>
      </c>
      <c r="D38" s="239" t="s">
        <v>266</v>
      </c>
      <c r="E38" s="238">
        <v>166.09</v>
      </c>
      <c r="F38" s="238">
        <f t="shared" si="1"/>
        <v>0.66</v>
      </c>
    </row>
    <row r="39" spans="1:9" ht="38.25" hidden="1" x14ac:dyDescent="0.25">
      <c r="A39" s="237" t="s">
        <v>105</v>
      </c>
      <c r="B39" s="236" t="s">
        <v>261</v>
      </c>
      <c r="C39" s="427" t="s">
        <v>175</v>
      </c>
      <c r="D39" s="239" t="s">
        <v>267</v>
      </c>
      <c r="E39" s="238">
        <v>61.33</v>
      </c>
      <c r="F39" s="238">
        <f t="shared" si="1"/>
        <v>1.35</v>
      </c>
    </row>
    <row r="40" spans="1:9" s="244" customFormat="1" ht="25.5" hidden="1" x14ac:dyDescent="0.25">
      <c r="A40" s="237">
        <v>6079</v>
      </c>
      <c r="B40" s="236" t="s">
        <v>314</v>
      </c>
      <c r="C40" s="427" t="s">
        <v>36</v>
      </c>
      <c r="D40" s="239">
        <v>1</v>
      </c>
      <c r="E40" s="238">
        <v>9.65</v>
      </c>
      <c r="F40" s="238">
        <f t="shared" si="1"/>
        <v>9.65</v>
      </c>
      <c r="G40" s="46"/>
      <c r="H40" s="46"/>
      <c r="I40" s="46"/>
    </row>
    <row r="41" spans="1:9" s="244" customFormat="1" hidden="1" x14ac:dyDescent="0.25">
      <c r="A41" s="440"/>
      <c r="B41" s="442"/>
      <c r="C41" s="377"/>
      <c r="D41" s="46"/>
      <c r="E41" s="46"/>
      <c r="F41" s="46"/>
      <c r="G41" s="46"/>
      <c r="H41" s="46"/>
      <c r="I41" s="46"/>
    </row>
    <row r="42" spans="1:9" hidden="1" x14ac:dyDescent="0.25">
      <c r="B42" s="662" t="s">
        <v>9</v>
      </c>
      <c r="C42" s="663"/>
      <c r="D42" s="230">
        <f>SUM(F31:F40)</f>
        <v>18.310000000000002</v>
      </c>
    </row>
    <row r="43" spans="1:9" hidden="1" x14ac:dyDescent="0.25"/>
    <row r="44" spans="1:9" hidden="1" x14ac:dyDescent="0.25"/>
  </sheetData>
  <mergeCells count="12">
    <mergeCell ref="B42:C42"/>
    <mergeCell ref="A29:F29"/>
    <mergeCell ref="A16:F16"/>
    <mergeCell ref="B27:C27"/>
    <mergeCell ref="A8:F8"/>
    <mergeCell ref="B14:C14"/>
    <mergeCell ref="A6:F6"/>
    <mergeCell ref="A1:F1"/>
    <mergeCell ref="A2:F2"/>
    <mergeCell ref="A3:F3"/>
    <mergeCell ref="A4:F4"/>
    <mergeCell ref="A5:F5"/>
  </mergeCells>
  <pageMargins left="0.511811024" right="0.511811024" top="0.78740157499999996" bottom="0.78740157499999996" header="0.31496062000000002" footer="0.31496062000000002"/>
  <pageSetup paperSize="9" scale="64" orientation="portrait" verticalDpi="360" r:id="rId1"/>
  <rowBreaks count="1" manualBreakCount="1">
    <brk id="42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topLeftCell="A6" zoomScale="85" zoomScaleNormal="100" zoomScaleSheetLayoutView="85" workbookViewId="0">
      <selection activeCell="I21" sqref="I21"/>
    </sheetView>
  </sheetViews>
  <sheetFormatPr defaultColWidth="9.140625" defaultRowHeight="15" x14ac:dyDescent="0.25"/>
  <cols>
    <col min="1" max="4" width="9.140625" style="244"/>
    <col min="5" max="5" width="16.7109375" style="244" customWidth="1"/>
    <col min="6" max="7" width="9.140625" style="244"/>
    <col min="8" max="8" width="12.140625" style="244" bestFit="1" customWidth="1"/>
    <col min="9" max="9" width="14" style="244" bestFit="1" customWidth="1"/>
    <col min="10" max="10" width="10.7109375" style="244" customWidth="1"/>
    <col min="11" max="11" width="9.140625" style="244"/>
    <col min="12" max="12" width="22.42578125" style="244" customWidth="1"/>
    <col min="13" max="14" width="9.140625" style="244"/>
    <col min="15" max="15" width="12.140625" style="244" bestFit="1" customWidth="1"/>
    <col min="16" max="16384" width="9.140625" style="244"/>
  </cols>
  <sheetData>
    <row r="1" spans="1:16" x14ac:dyDescent="0.25">
      <c r="A1" s="670"/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</row>
    <row r="2" spans="1:16" x14ac:dyDescent="0.25">
      <c r="A2" s="670"/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</row>
    <row r="3" spans="1:16" x14ac:dyDescent="0.25">
      <c r="A3" s="670"/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</row>
    <row r="4" spans="1:16" ht="33.75" customHeight="1" x14ac:dyDescent="0.25">
      <c r="A4" s="672" t="str">
        <f>COMPOSIÇÕES!A4</f>
        <v>EXECUÇÃO DOS SERVIÇOS DE DRENAGEM SUPERFICIAL E PAVIMENTAÇÃO ASFÁLTICA DE VIAS EM GARRAFÃO DO NORTE</v>
      </c>
      <c r="B4" s="673" t="s">
        <v>272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P4" s="244">
        <v>1000</v>
      </c>
    </row>
    <row r="5" spans="1:16" x14ac:dyDescent="0.25">
      <c r="A5" s="670"/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</row>
    <row r="6" spans="1:16" x14ac:dyDescent="0.25">
      <c r="A6" s="667" t="s">
        <v>273</v>
      </c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9"/>
    </row>
    <row r="8" spans="1:16" x14ac:dyDescent="0.25">
      <c r="C8" s="674" t="s">
        <v>274</v>
      </c>
      <c r="D8" s="675"/>
      <c r="E8" s="676"/>
      <c r="F8" s="677" t="s">
        <v>275</v>
      </c>
      <c r="G8" s="677"/>
      <c r="H8" s="444"/>
      <c r="I8" s="445" t="s">
        <v>276</v>
      </c>
    </row>
    <row r="9" spans="1:16" x14ac:dyDescent="0.25">
      <c r="C9" s="678" t="s">
        <v>277</v>
      </c>
      <c r="D9" s="678"/>
      <c r="E9" s="678"/>
      <c r="F9" s="678"/>
      <c r="G9" s="678"/>
      <c r="H9" s="446"/>
      <c r="I9" s="346"/>
    </row>
    <row r="10" spans="1:16" x14ac:dyDescent="0.25">
      <c r="C10" s="679" t="s">
        <v>278</v>
      </c>
      <c r="D10" s="679"/>
      <c r="E10" s="679"/>
      <c r="F10" s="679"/>
      <c r="G10" s="679"/>
      <c r="H10" s="447"/>
      <c r="I10" s="447"/>
    </row>
    <row r="11" spans="1:16" x14ac:dyDescent="0.25">
      <c r="C11" s="679" t="s">
        <v>279</v>
      </c>
      <c r="D11" s="679"/>
      <c r="E11" s="679"/>
      <c r="F11" s="679"/>
      <c r="G11" s="679"/>
      <c r="H11" s="447"/>
      <c r="I11" s="447"/>
    </row>
    <row r="12" spans="1:16" x14ac:dyDescent="0.25">
      <c r="C12" s="680" t="s">
        <v>280</v>
      </c>
      <c r="D12" s="680"/>
      <c r="E12" s="680"/>
      <c r="F12" s="680"/>
      <c r="G12" s="680"/>
      <c r="H12" s="334"/>
      <c r="I12" s="334"/>
    </row>
    <row r="13" spans="1:16" x14ac:dyDescent="0.25">
      <c r="C13" s="679" t="s">
        <v>281</v>
      </c>
      <c r="D13" s="679"/>
      <c r="E13" s="679"/>
      <c r="F13" s="679"/>
      <c r="G13" s="679"/>
      <c r="H13" s="448"/>
      <c r="I13" s="449"/>
    </row>
    <row r="14" spans="1:16" x14ac:dyDescent="0.25">
      <c r="C14" s="679" t="s">
        <v>282</v>
      </c>
      <c r="D14" s="679"/>
      <c r="E14" s="679"/>
      <c r="F14" s="679"/>
      <c r="G14" s="679"/>
      <c r="H14" s="450"/>
      <c r="I14" s="449"/>
    </row>
    <row r="15" spans="1:16" x14ac:dyDescent="0.25">
      <c r="C15" s="679" t="s">
        <v>284</v>
      </c>
      <c r="D15" s="679"/>
      <c r="E15" s="679"/>
      <c r="F15" s="679"/>
      <c r="G15" s="679"/>
      <c r="H15" s="450"/>
      <c r="I15" s="449"/>
    </row>
    <row r="16" spans="1:16" x14ac:dyDescent="0.25">
      <c r="C16" s="679" t="s">
        <v>285</v>
      </c>
      <c r="D16" s="679"/>
      <c r="E16" s="679"/>
      <c r="F16" s="679"/>
      <c r="G16" s="679"/>
      <c r="H16" s="450"/>
      <c r="I16" s="449"/>
    </row>
    <row r="17" spans="3:9" x14ac:dyDescent="0.25">
      <c r="C17" s="679" t="s">
        <v>286</v>
      </c>
      <c r="D17" s="679"/>
      <c r="E17" s="679"/>
      <c r="F17" s="679"/>
      <c r="G17" s="679"/>
      <c r="H17" s="450"/>
      <c r="I17" s="449"/>
    </row>
    <row r="18" spans="3:9" x14ac:dyDescent="0.25">
      <c r="C18" s="681" t="s">
        <v>287</v>
      </c>
      <c r="D18" s="681"/>
      <c r="E18" s="681"/>
      <c r="F18" s="681"/>
      <c r="G18" s="681"/>
      <c r="H18" s="451"/>
      <c r="I18" s="452"/>
    </row>
    <row r="19" spans="3:9" x14ac:dyDescent="0.25">
      <c r="C19" s="679" t="s">
        <v>288</v>
      </c>
      <c r="D19" s="679"/>
      <c r="E19" s="679"/>
      <c r="F19" s="679"/>
      <c r="G19" s="679"/>
      <c r="H19" s="450"/>
      <c r="I19" s="449"/>
    </row>
    <row r="20" spans="3:9" x14ac:dyDescent="0.25">
      <c r="C20" s="679" t="s">
        <v>289</v>
      </c>
      <c r="D20" s="679"/>
      <c r="E20" s="679"/>
      <c r="F20" s="679"/>
      <c r="G20" s="679"/>
      <c r="H20" s="450"/>
      <c r="I20" s="449"/>
    </row>
    <row r="21" spans="3:9" x14ac:dyDescent="0.25">
      <c r="C21" s="679" t="s">
        <v>290</v>
      </c>
      <c r="D21" s="679"/>
      <c r="E21" s="679"/>
      <c r="F21" s="679" t="s">
        <v>283</v>
      </c>
      <c r="G21" s="679"/>
      <c r="H21" s="450">
        <v>3680</v>
      </c>
      <c r="I21" s="449">
        <f>H21/$P$4</f>
        <v>3.68</v>
      </c>
    </row>
    <row r="22" spans="3:9" x14ac:dyDescent="0.25">
      <c r="C22" s="679" t="s">
        <v>291</v>
      </c>
      <c r="D22" s="679"/>
      <c r="E22" s="679"/>
      <c r="F22" s="679"/>
      <c r="G22" s="679"/>
      <c r="H22" s="450"/>
      <c r="I22" s="449"/>
    </row>
    <row r="23" spans="3:9" x14ac:dyDescent="0.25">
      <c r="C23" s="679" t="s">
        <v>292</v>
      </c>
      <c r="D23" s="679"/>
      <c r="E23" s="679"/>
      <c r="F23" s="679"/>
      <c r="G23" s="679"/>
      <c r="H23" s="450"/>
      <c r="I23" s="449"/>
    </row>
    <row r="24" spans="3:9" x14ac:dyDescent="0.25">
      <c r="C24" s="679" t="s">
        <v>293</v>
      </c>
      <c r="D24" s="679"/>
      <c r="E24" s="679"/>
      <c r="F24" s="679"/>
      <c r="G24" s="679"/>
      <c r="H24" s="450"/>
      <c r="I24" s="449"/>
    </row>
    <row r="25" spans="3:9" x14ac:dyDescent="0.25">
      <c r="C25" s="679" t="s">
        <v>294</v>
      </c>
      <c r="D25" s="679"/>
      <c r="E25" s="679"/>
      <c r="F25" s="679"/>
      <c r="G25" s="679"/>
      <c r="H25" s="450"/>
      <c r="I25" s="449"/>
    </row>
    <row r="26" spans="3:9" x14ac:dyDescent="0.25">
      <c r="C26" s="679" t="s">
        <v>295</v>
      </c>
      <c r="D26" s="679"/>
      <c r="E26" s="679"/>
      <c r="F26" s="679"/>
      <c r="G26" s="679"/>
      <c r="H26" s="453"/>
      <c r="I26" s="454"/>
    </row>
    <row r="27" spans="3:9" x14ac:dyDescent="0.25">
      <c r="C27" s="681" t="s">
        <v>296</v>
      </c>
      <c r="D27" s="681"/>
      <c r="E27" s="681"/>
      <c r="F27" s="679"/>
      <c r="G27" s="679"/>
      <c r="H27" s="450"/>
      <c r="I27" s="455"/>
    </row>
    <row r="28" spans="3:9" x14ac:dyDescent="0.25">
      <c r="C28" s="679" t="s">
        <v>297</v>
      </c>
      <c r="D28" s="679"/>
      <c r="E28" s="679"/>
      <c r="F28" s="679"/>
      <c r="G28" s="679"/>
      <c r="H28" s="450"/>
      <c r="I28" s="449"/>
    </row>
    <row r="29" spans="3:9" x14ac:dyDescent="0.25">
      <c r="C29" s="679" t="s">
        <v>298</v>
      </c>
      <c r="D29" s="679"/>
      <c r="E29" s="679"/>
      <c r="F29" s="679"/>
      <c r="G29" s="679"/>
      <c r="H29" s="450"/>
      <c r="I29" s="449"/>
    </row>
    <row r="30" spans="3:9" x14ac:dyDescent="0.25">
      <c r="C30" s="679" t="s">
        <v>299</v>
      </c>
      <c r="D30" s="679"/>
      <c r="E30" s="679"/>
      <c r="F30" s="679"/>
      <c r="G30" s="679"/>
      <c r="H30" s="450"/>
      <c r="I30" s="449"/>
    </row>
  </sheetData>
  <mergeCells count="52">
    <mergeCell ref="C29:E29"/>
    <mergeCell ref="F29:G29"/>
    <mergeCell ref="C30:E30"/>
    <mergeCell ref="F30:G30"/>
    <mergeCell ref="C26:E26"/>
    <mergeCell ref="F26:G26"/>
    <mergeCell ref="C27:E27"/>
    <mergeCell ref="F27:G27"/>
    <mergeCell ref="C28:E28"/>
    <mergeCell ref="F28:G28"/>
    <mergeCell ref="C23:E23"/>
    <mergeCell ref="F23:G23"/>
    <mergeCell ref="C24:E24"/>
    <mergeCell ref="F24:G24"/>
    <mergeCell ref="C25:E25"/>
    <mergeCell ref="F25:G25"/>
    <mergeCell ref="C20:E20"/>
    <mergeCell ref="F20:G20"/>
    <mergeCell ref="C21:E21"/>
    <mergeCell ref="F21:G21"/>
    <mergeCell ref="C22:E22"/>
    <mergeCell ref="F22:G22"/>
    <mergeCell ref="C17:E17"/>
    <mergeCell ref="F17:G17"/>
    <mergeCell ref="C18:E18"/>
    <mergeCell ref="F18:G18"/>
    <mergeCell ref="C19:E19"/>
    <mergeCell ref="F19:G19"/>
    <mergeCell ref="C14:E14"/>
    <mergeCell ref="F14:G14"/>
    <mergeCell ref="C15:E15"/>
    <mergeCell ref="F15:G15"/>
    <mergeCell ref="C16:E16"/>
    <mergeCell ref="F16:G16"/>
    <mergeCell ref="C11:E11"/>
    <mergeCell ref="F11:G11"/>
    <mergeCell ref="C12:E12"/>
    <mergeCell ref="F12:G12"/>
    <mergeCell ref="C13:E13"/>
    <mergeCell ref="F13:G13"/>
    <mergeCell ref="C8:E8"/>
    <mergeCell ref="F8:G8"/>
    <mergeCell ref="C9:E9"/>
    <mergeCell ref="F9:G9"/>
    <mergeCell ref="C10:E10"/>
    <mergeCell ref="F10:G10"/>
    <mergeCell ref="A6:L6"/>
    <mergeCell ref="A1:L1"/>
    <mergeCell ref="A2:L2"/>
    <mergeCell ref="A3:L3"/>
    <mergeCell ref="A4:L4"/>
    <mergeCell ref="A5:L5"/>
  </mergeCells>
  <pageMargins left="0.511811024" right="0.511811024" top="0.78740157499999996" bottom="0.78740157499999996" header="0.31496062000000002" footer="0.31496062000000002"/>
  <pageSetup paperSize="9" scale="65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19</vt:i4>
      </vt:variant>
    </vt:vector>
  </HeadingPairs>
  <TitlesOfParts>
    <vt:vector size="29" baseType="lpstr">
      <vt:lpstr>ORÇAMENTO DESONERADO</vt:lpstr>
      <vt:lpstr>DADOS DA OBRA</vt:lpstr>
      <vt:lpstr>1.ADM. LOCAL</vt:lpstr>
      <vt:lpstr>2.SER.PREL.</vt:lpstr>
      <vt:lpstr>COMPOS.MOBILIZAÇÃO</vt:lpstr>
      <vt:lpstr>MEMORIA</vt:lpstr>
      <vt:lpstr>B.D.I  DESONERADO</vt:lpstr>
      <vt:lpstr>CFF Não Desonerado</vt:lpstr>
      <vt:lpstr>COMPOSIÇÕES</vt:lpstr>
      <vt:lpstr>COTAÇÃO</vt:lpstr>
      <vt:lpstr>'1.ADM. LOCAL'!Area_de_impressao</vt:lpstr>
      <vt:lpstr>'B.D.I  DESONERADO'!Area_de_impressao</vt:lpstr>
      <vt:lpstr>'CFF Não Desonerado'!Area_de_impressao</vt:lpstr>
      <vt:lpstr>COMPOSIÇÕES!Area_de_impressao</vt:lpstr>
      <vt:lpstr>COTAÇÃO!Area_de_impressao</vt:lpstr>
      <vt:lpstr>'DADOS DA OBRA'!Area_de_impressao</vt:lpstr>
      <vt:lpstr>MEMORIA!Area_de_impressao</vt:lpstr>
      <vt:lpstr>'ORÇAMENTO DESONERADO'!Area_de_impressao</vt:lpstr>
      <vt:lpstr>'1.ADM. LOCAL'!Print_Area</vt:lpstr>
      <vt:lpstr>'2.SER.PREL.'!Print_Area</vt:lpstr>
      <vt:lpstr>'B.D.I  DESONERADO'!Print_Area</vt:lpstr>
      <vt:lpstr>'CFF Não Desonerado'!Print_Area</vt:lpstr>
      <vt:lpstr>COMPOS.MOBILIZAÇÃO!Print_Area</vt:lpstr>
      <vt:lpstr>COMPOSIÇÕES!Print_Area</vt:lpstr>
      <vt:lpstr>COTAÇÃO!Print_Area</vt:lpstr>
      <vt:lpstr>'DADOS DA OBRA'!Print_Area</vt:lpstr>
      <vt:lpstr>MEMORIA!Print_Area</vt:lpstr>
      <vt:lpstr>'ORÇAMENTO DESONERADO'!Print_Area</vt:lpstr>
      <vt:lpstr>MEMORIA!Print_Titles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pc</cp:lastModifiedBy>
  <cp:lastPrinted>2022-01-31T20:02:29Z</cp:lastPrinted>
  <dcterms:created xsi:type="dcterms:W3CDTF">2019-05-03T14:47:32Z</dcterms:created>
  <dcterms:modified xsi:type="dcterms:W3CDTF">2022-01-31T20:02:38Z</dcterms:modified>
</cp:coreProperties>
</file>